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ThisWorkbook" defaultThemeVersion="124226"/>
  <xr:revisionPtr revIDLastSave="0" documentId="13_ncr:1_{FF2DB2D0-8BB9-43CD-808D-A0AB1D2CF307}" xr6:coauthVersionLast="47" xr6:coauthVersionMax="47" xr10:uidLastSave="{00000000-0000-0000-0000-000000000000}"/>
  <bookViews>
    <workbookView xWindow="-120" yWindow="-120" windowWidth="20730" windowHeight="11160" xr2:uid="{00000000-000D-0000-FFFF-FFFF00000000}"/>
  </bookViews>
  <sheets>
    <sheet name="Annual Workplan" sheetId="1" r:id="rId1"/>
    <sheet name="Annex-A" sheetId="4" r:id="rId2"/>
    <sheet name="Annex-B" sheetId="3" r:id="rId3"/>
    <sheet name="Annex-C" sheetId="6" r:id="rId4"/>
    <sheet name="Annex-C2" sheetId="14" r:id="rId5"/>
    <sheet name="Annex-D" sheetId="11" r:id="rId6"/>
    <sheet name="Annex-E" sheetId="10" r:id="rId7"/>
    <sheet name="Annex1" sheetId="9" r:id="rId8"/>
    <sheet name="RFW" sheetId="12" r:id="rId9"/>
    <sheet name="AIP till life of project" sheetId="13" r:id="rId10"/>
  </sheets>
  <definedNames>
    <definedName name="_xlnm._FilterDatabase" localSheetId="0" hidden="1">'Annual Workplan'!$B$6:$R$40</definedName>
    <definedName name="_xlnm.Print_Area" localSheetId="3">'Annex-C'!$A$1:$D$234</definedName>
    <definedName name="_xlnm.Print_Area" localSheetId="0">'Annual Workplan'!$B$1:$R$40</definedName>
    <definedName name="_xlnm.Print_Titles" localSheetId="3">'Annex-C'!$2:$4</definedName>
    <definedName name="_xlnm.Print_Titles" localSheetId="0">'Annual Workplan'!$2:$7</definedName>
  </definedNames>
  <calcPr calcId="181029"/>
</workbook>
</file>

<file path=xl/calcChain.xml><?xml version="1.0" encoding="utf-8"?>
<calcChain xmlns="http://schemas.openxmlformats.org/spreadsheetml/2006/main">
  <c r="Q15" i="1" l="1"/>
  <c r="L15" i="1"/>
  <c r="K15" i="1"/>
  <c r="J15" i="1"/>
  <c r="I15" i="1"/>
  <c r="R15" i="1"/>
  <c r="P38" i="1"/>
  <c r="P37" i="1"/>
  <c r="P36" i="1"/>
  <c r="D16" i="11"/>
  <c r="F15" i="11"/>
  <c r="F14" i="11"/>
  <c r="P35" i="1"/>
  <c r="P33" i="1"/>
  <c r="I33" i="1" s="1"/>
  <c r="P32" i="1"/>
  <c r="P30" i="1"/>
  <c r="P29" i="1"/>
  <c r="P28" i="1"/>
  <c r="P27" i="1"/>
  <c r="P26" i="1"/>
  <c r="P25" i="1"/>
  <c r="P24" i="1"/>
  <c r="P23" i="1"/>
  <c r="P22" i="1"/>
  <c r="P21" i="1"/>
  <c r="Q21" i="1" s="1"/>
  <c r="P20" i="1"/>
  <c r="P19" i="1"/>
  <c r="P18" i="1"/>
  <c r="P17" i="1"/>
  <c r="S14" i="1"/>
  <c r="P16" i="1"/>
  <c r="V17" i="1"/>
  <c r="D8" i="14"/>
  <c r="E8" i="14" s="1"/>
  <c r="D7" i="14"/>
  <c r="E7" i="14" s="1"/>
  <c r="C6" i="14"/>
  <c r="D6" i="14" s="1"/>
  <c r="E6" i="14" s="1"/>
  <c r="D5" i="14"/>
  <c r="E5" i="14" s="1"/>
  <c r="D4" i="14"/>
  <c r="E4" i="14" s="1"/>
  <c r="C4" i="14"/>
  <c r="D3" i="14"/>
  <c r="E3" i="14" s="1"/>
  <c r="E9" i="14" s="1"/>
  <c r="Q33" i="1" l="1"/>
  <c r="R33" i="1"/>
  <c r="K33" i="1"/>
  <c r="J33" i="1"/>
  <c r="K30" i="1"/>
  <c r="G14" i="11"/>
  <c r="G31" i="3"/>
  <c r="F31" i="3"/>
  <c r="G30" i="3"/>
  <c r="J29" i="1"/>
  <c r="K29" i="1"/>
  <c r="L22" i="1"/>
  <c r="K22" i="1"/>
  <c r="L21" i="1"/>
  <c r="K21" i="1"/>
  <c r="J21" i="1"/>
  <c r="L16" i="1"/>
  <c r="K16" i="1"/>
  <c r="J16" i="1"/>
  <c r="J67" i="13"/>
  <c r="K66" i="13"/>
  <c r="K67" i="13" s="1"/>
  <c r="I65" i="13"/>
  <c r="I66" i="13" s="1"/>
  <c r="I67" i="13" s="1"/>
  <c r="G65" i="13"/>
  <c r="G66" i="13" s="1"/>
  <c r="G67" i="13" s="1"/>
  <c r="F65" i="13"/>
  <c r="F66" i="13" s="1"/>
  <c r="F67" i="13" s="1"/>
  <c r="E65" i="13"/>
  <c r="H65" i="13" s="1"/>
  <c r="D65" i="13"/>
  <c r="D66" i="13" s="1"/>
  <c r="D67" i="13" s="1"/>
  <c r="C65" i="13"/>
  <c r="B65" i="13"/>
  <c r="B66" i="13" s="1"/>
  <c r="P64" i="13"/>
  <c r="P63" i="13"/>
  <c r="H62" i="13"/>
  <c r="J62" i="13" s="1"/>
  <c r="P61" i="13"/>
  <c r="J59" i="13"/>
  <c r="J65" i="13" s="1"/>
  <c r="H59" i="13"/>
  <c r="K57" i="13"/>
  <c r="I57" i="13"/>
  <c r="G57" i="13"/>
  <c r="F57" i="13"/>
  <c r="E57" i="13"/>
  <c r="D57" i="13"/>
  <c r="C57" i="13"/>
  <c r="B57" i="13"/>
  <c r="H56" i="13"/>
  <c r="J56" i="13" s="1"/>
  <c r="H54" i="13"/>
  <c r="H57" i="13" s="1"/>
  <c r="K52" i="13"/>
  <c r="I52" i="13"/>
  <c r="G52" i="13"/>
  <c r="F52" i="13"/>
  <c r="E52" i="13"/>
  <c r="D52" i="13"/>
  <c r="C52" i="13"/>
  <c r="C66" i="13" s="1"/>
  <c r="B52" i="13"/>
  <c r="H51" i="13"/>
  <c r="J51" i="13" s="1"/>
  <c r="H50" i="13"/>
  <c r="J50" i="13" s="1"/>
  <c r="H49" i="13"/>
  <c r="J49" i="13" s="1"/>
  <c r="J48" i="13"/>
  <c r="H48" i="13"/>
  <c r="T47" i="13"/>
  <c r="P47" i="13"/>
  <c r="P46" i="13"/>
  <c r="H46" i="13"/>
  <c r="H52" i="13" s="1"/>
  <c r="J52" i="13" s="1"/>
  <c r="I44" i="13"/>
  <c r="G44" i="13"/>
  <c r="F44" i="13"/>
  <c r="E44" i="13"/>
  <c r="D44" i="13"/>
  <c r="C44" i="13"/>
  <c r="B44" i="13"/>
  <c r="P43" i="13"/>
  <c r="P42" i="13"/>
  <c r="P41" i="13"/>
  <c r="P40" i="13"/>
  <c r="H40" i="13"/>
  <c r="H44" i="13" s="1"/>
  <c r="L38" i="13"/>
  <c r="I38" i="13"/>
  <c r="G38" i="13"/>
  <c r="F38" i="13"/>
  <c r="E38" i="13"/>
  <c r="D38" i="13"/>
  <c r="C38" i="13"/>
  <c r="B38" i="13"/>
  <c r="P36" i="13"/>
  <c r="H36" i="13"/>
  <c r="J36" i="13" s="1"/>
  <c r="P33" i="13"/>
  <c r="L32" i="13"/>
  <c r="H32" i="13"/>
  <c r="J32" i="13" s="1"/>
  <c r="P27" i="13"/>
  <c r="J25" i="13"/>
  <c r="H25" i="13"/>
  <c r="H21" i="13"/>
  <c r="J21" i="13" s="1"/>
  <c r="H20" i="13"/>
  <c r="J20" i="13" s="1"/>
  <c r="H19" i="13"/>
  <c r="J19" i="13" s="1"/>
  <c r="J18" i="13"/>
  <c r="H18" i="13"/>
  <c r="H17" i="13"/>
  <c r="J17" i="13" s="1"/>
  <c r="H16" i="13"/>
  <c r="J16" i="13" s="1"/>
  <c r="H15" i="13"/>
  <c r="J15" i="13" s="1"/>
  <c r="J14" i="13"/>
  <c r="H14" i="13"/>
  <c r="H13" i="13"/>
  <c r="J13" i="13" s="1"/>
  <c r="H12" i="13"/>
  <c r="J12" i="13" s="1"/>
  <c r="H11" i="13"/>
  <c r="J11" i="13" s="1"/>
  <c r="J10" i="13"/>
  <c r="H10" i="13"/>
  <c r="H38" i="13" s="1"/>
  <c r="I32" i="1"/>
  <c r="J32" i="1"/>
  <c r="K32" i="1"/>
  <c r="Q32" i="1"/>
  <c r="R32" i="1"/>
  <c r="H66" i="13" l="1"/>
  <c r="H67" i="13" s="1"/>
  <c r="J38" i="13"/>
  <c r="E66" i="13"/>
  <c r="E67" i="13" s="1"/>
  <c r="J40" i="13"/>
  <c r="J44" i="13" s="1"/>
  <c r="J54" i="13"/>
  <c r="J57" i="13" s="1"/>
  <c r="J46" i="13"/>
  <c r="G15" i="11" l="1"/>
  <c r="G11" i="11"/>
  <c r="F28" i="3" l="1"/>
  <c r="F20" i="3"/>
  <c r="F29" i="3"/>
  <c r="F19" i="3"/>
  <c r="F26" i="3"/>
  <c r="F13" i="11"/>
  <c r="G13" i="11" s="1"/>
  <c r="F12" i="11"/>
  <c r="G12" i="11" s="1"/>
  <c r="F10" i="11"/>
  <c r="G10" i="11" s="1"/>
  <c r="F9" i="11"/>
  <c r="G9" i="11" s="1"/>
  <c r="F8" i="11"/>
  <c r="G8" i="11" s="1"/>
  <c r="F7" i="11"/>
  <c r="G7" i="11" s="1"/>
  <c r="F6" i="11"/>
  <c r="G6" i="11" s="1"/>
  <c r="F5" i="11"/>
  <c r="G5" i="11" s="1"/>
  <c r="F4" i="11"/>
  <c r="G4" i="11" s="1"/>
  <c r="R18" i="1"/>
  <c r="R20" i="1"/>
  <c r="R27" i="1"/>
  <c r="R26" i="1"/>
  <c r="L38" i="1"/>
  <c r="K38" i="1"/>
  <c r="J38" i="1"/>
  <c r="I38" i="1"/>
  <c r="L37" i="1"/>
  <c r="K37" i="1"/>
  <c r="L36" i="1"/>
  <c r="K36" i="1"/>
  <c r="J36" i="1"/>
  <c r="L35" i="1"/>
  <c r="K35" i="1"/>
  <c r="J35" i="1"/>
  <c r="I35" i="1"/>
  <c r="K31" i="1"/>
  <c r="J31" i="1"/>
  <c r="I31" i="1"/>
  <c r="L28" i="1"/>
  <c r="K28" i="1"/>
  <c r="J28" i="1"/>
  <c r="I28" i="1"/>
  <c r="L27" i="1"/>
  <c r="K27" i="1"/>
  <c r="J27" i="1"/>
  <c r="I27" i="1"/>
  <c r="I25" i="1"/>
  <c r="J24" i="1"/>
  <c r="L23" i="1"/>
  <c r="K23" i="1"/>
  <c r="J23" i="1"/>
  <c r="I23" i="1"/>
  <c r="K20" i="1"/>
  <c r="J20" i="1"/>
  <c r="I20" i="1"/>
  <c r="L19" i="1"/>
  <c r="K19" i="1"/>
  <c r="J19" i="1"/>
  <c r="J18" i="1"/>
  <c r="J17" i="1"/>
  <c r="R30" i="1"/>
  <c r="R16" i="1"/>
  <c r="J26" i="1"/>
  <c r="Q37" i="1" l="1"/>
  <c r="Q36" i="1"/>
  <c r="Q35" i="1"/>
  <c r="Q31" i="1"/>
  <c r="Q29" i="1"/>
  <c r="Q28" i="1"/>
  <c r="Q27" i="1"/>
  <c r="Q26" i="1"/>
  <c r="Q25" i="1"/>
  <c r="Q24" i="1"/>
  <c r="Q23" i="1"/>
  <c r="Q22" i="1"/>
  <c r="Q20" i="1"/>
  <c r="Q19" i="1"/>
  <c r="Q18" i="1"/>
  <c r="Q17" i="1"/>
  <c r="G27" i="3"/>
  <c r="G25" i="3"/>
  <c r="G24" i="3"/>
  <c r="G23" i="3"/>
  <c r="G22" i="3"/>
  <c r="G21" i="3"/>
  <c r="G18" i="3"/>
  <c r="G17" i="3"/>
  <c r="G15" i="3"/>
  <c r="G14" i="3"/>
  <c r="G12" i="3"/>
  <c r="G11" i="3"/>
  <c r="G10" i="3"/>
  <c r="G20" i="3" l="1"/>
  <c r="G26" i="3" l="1"/>
  <c r="G29" i="3"/>
  <c r="F16" i="3"/>
  <c r="G16" i="3" s="1"/>
  <c r="J14" i="1" l="1"/>
  <c r="I14" i="1"/>
  <c r="Q14" i="1"/>
  <c r="R14" i="1"/>
  <c r="G19" i="3" l="1"/>
  <c r="R38" i="1" l="1"/>
  <c r="Q38" i="1"/>
  <c r="R37" i="1"/>
  <c r="R36" i="1"/>
  <c r="R35" i="1"/>
  <c r="R31" i="1"/>
  <c r="R29" i="1"/>
  <c r="R28" i="1"/>
  <c r="R24" i="1" l="1"/>
  <c r="R22" i="1"/>
  <c r="R21" i="1"/>
  <c r="R19" i="1"/>
  <c r="G28" i="3" l="1"/>
  <c r="F13" i="3"/>
  <c r="B8" i="3"/>
  <c r="B9" i="3" s="1"/>
  <c r="B10" i="3" s="1"/>
  <c r="B11" i="3" s="1"/>
  <c r="B12" i="3" s="1"/>
  <c r="F9" i="3"/>
  <c r="F8" i="3"/>
  <c r="G8" i="3" s="1"/>
  <c r="F7" i="3"/>
  <c r="G7" i="3" l="1"/>
  <c r="G9" i="3"/>
  <c r="G13" i="3"/>
  <c r="N16" i="1"/>
  <c r="Q16" i="1" s="1"/>
  <c r="G16" i="4"/>
  <c r="M16" i="4" s="1"/>
  <c r="G15" i="4"/>
  <c r="M15" i="4" s="1"/>
  <c r="G14" i="4"/>
  <c r="M14" i="4" s="1"/>
  <c r="G13" i="4"/>
  <c r="M13" i="4" s="1"/>
  <c r="G12" i="4"/>
  <c r="M12" i="4" s="1"/>
  <c r="G11" i="4"/>
  <c r="M11" i="4" s="1"/>
  <c r="G10" i="4"/>
  <c r="M10" i="4" s="1"/>
  <c r="G9" i="4"/>
  <c r="M9" i="4" s="1"/>
  <c r="G8" i="4"/>
  <c r="M8" i="4" s="1"/>
  <c r="G7" i="4"/>
  <c r="M7" i="4" s="1"/>
  <c r="G6" i="4"/>
  <c r="M6" i="4" s="1"/>
  <c r="G5" i="4"/>
  <c r="M5" i="4" s="1"/>
  <c r="G4" i="4"/>
  <c r="M4" i="4" s="1"/>
  <c r="P13" i="1"/>
  <c r="J13" i="1" s="1"/>
  <c r="Q13" i="1" l="1"/>
  <c r="R13" i="1"/>
  <c r="G18" i="4"/>
  <c r="D21" i="4" s="1"/>
  <c r="D22" i="4" s="1"/>
  <c r="M18" i="4"/>
  <c r="P12" i="1"/>
  <c r="Q12" i="1" l="1"/>
  <c r="J12" i="1"/>
  <c r="R12" i="1"/>
  <c r="P10" i="1"/>
  <c r="P11" i="1"/>
  <c r="P9" i="1" l="1"/>
  <c r="Q11" i="1"/>
  <c r="L11" i="1"/>
  <c r="J11" i="1"/>
  <c r="K10" i="1"/>
  <c r="J10" i="1"/>
  <c r="L10" i="1"/>
  <c r="I10" i="1"/>
  <c r="Q10" i="1"/>
  <c r="R10" i="1"/>
  <c r="R11" i="1"/>
  <c r="E18" i="4"/>
  <c r="B13" i="3"/>
  <c r="K9" i="1" l="1"/>
  <c r="L9" i="1"/>
  <c r="J9" i="1"/>
  <c r="I9" i="1"/>
  <c r="B14" i="3"/>
  <c r="B15" i="3" s="1"/>
  <c r="B16" i="3" s="1"/>
  <c r="B17" i="3" s="1"/>
  <c r="B18" i="3" s="1"/>
  <c r="B19" i="3" s="1"/>
  <c r="B20" i="3" s="1"/>
  <c r="B21" i="3" s="1"/>
  <c r="B22" i="3" s="1"/>
  <c r="B23" i="3" l="1"/>
  <c r="B24" i="3" s="1"/>
  <c r="B25" i="3" s="1"/>
  <c r="B26" i="3" l="1"/>
  <c r="N8" i="1"/>
  <c r="H15" i="4"/>
  <c r="H12" i="4"/>
  <c r="I12" i="4" s="1"/>
  <c r="J12" i="4" s="1"/>
  <c r="K12" i="4" s="1"/>
  <c r="H11" i="4"/>
  <c r="I11" i="4" s="1"/>
  <c r="J11" i="4" s="1"/>
  <c r="K11" i="4" s="1"/>
  <c r="H9" i="4"/>
  <c r="I9" i="4" s="1"/>
  <c r="J9" i="4" s="1"/>
  <c r="K9" i="4" s="1"/>
  <c r="H8" i="4"/>
  <c r="I8" i="4" s="1"/>
  <c r="J8" i="4" s="1"/>
  <c r="K8" i="4" s="1"/>
  <c r="H7" i="4"/>
  <c r="I7" i="4" s="1"/>
  <c r="J7" i="4" s="1"/>
  <c r="K7" i="4" s="1"/>
  <c r="H6" i="4"/>
  <c r="I6" i="4" s="1"/>
  <c r="J6" i="4" s="1"/>
  <c r="K6" i="4" s="1"/>
  <c r="H5" i="4"/>
  <c r="I5" i="4" s="1"/>
  <c r="J5" i="4" s="1"/>
  <c r="K5" i="4" s="1"/>
  <c r="H4" i="4"/>
  <c r="I4" i="4" s="1"/>
  <c r="J4" i="4" s="1"/>
  <c r="B27" i="3" l="1"/>
  <c r="B28" i="3" s="1"/>
  <c r="B29" i="3" s="1"/>
  <c r="N9" i="1" s="1"/>
  <c r="Q9" i="1" s="1"/>
  <c r="L5" i="4"/>
  <c r="P8" i="1"/>
  <c r="K4" i="4"/>
  <c r="L4" i="4" s="1"/>
  <c r="L6" i="4"/>
  <c r="L8" i="4"/>
  <c r="L12" i="4"/>
  <c r="L9" i="4"/>
  <c r="L11" i="4"/>
  <c r="H16" i="4"/>
  <c r="I16" i="4" s="1"/>
  <c r="J16" i="4" s="1"/>
  <c r="K16" i="4" s="1"/>
  <c r="H13" i="4"/>
  <c r="I13" i="4" s="1"/>
  <c r="J13" i="4" s="1"/>
  <c r="K13" i="4" s="1"/>
  <c r="L7" i="4"/>
  <c r="H10" i="4"/>
  <c r="I10" i="4" s="1"/>
  <c r="J10" i="4" s="1"/>
  <c r="K10" i="4" s="1"/>
  <c r="H14" i="4"/>
  <c r="I14" i="4" s="1"/>
  <c r="J14" i="4" s="1"/>
  <c r="K14" i="4" s="1"/>
  <c r="I15" i="4"/>
  <c r="J15" i="4" s="1"/>
  <c r="K15" i="4" s="1"/>
  <c r="I8" i="1" l="1"/>
  <c r="K8" i="1"/>
  <c r="L8" i="1"/>
  <c r="J8" i="1"/>
  <c r="Q8" i="1"/>
  <c r="R8" i="1"/>
  <c r="L15" i="4"/>
  <c r="K18" i="4"/>
  <c r="L13" i="4"/>
  <c r="I18" i="4"/>
  <c r="L16" i="4"/>
  <c r="L10" i="4"/>
  <c r="L14" i="4"/>
  <c r="H18" i="4"/>
  <c r="J18" i="4"/>
  <c r="R9" i="1" l="1"/>
  <c r="L18" i="4"/>
  <c r="R23" i="1" l="1"/>
  <c r="R25" i="1"/>
  <c r="R17" i="1"/>
  <c r="F16" i="11" l="1"/>
  <c r="G16" i="11"/>
  <c r="P34" i="1" l="1"/>
  <c r="K34" i="1" s="1"/>
  <c r="K39" i="1" s="1"/>
  <c r="E21" i="11"/>
  <c r="E22" i="11" s="1"/>
  <c r="Q34" i="1" l="1"/>
  <c r="R34" i="1"/>
  <c r="J34" i="1"/>
  <c r="J39" i="1" s="1"/>
  <c r="J40" i="1" s="1"/>
  <c r="L34" i="1"/>
  <c r="I34" i="1"/>
  <c r="Q30" i="1"/>
  <c r="R39" i="1"/>
  <c r="I39" i="1" l="1"/>
  <c r="I40" i="1" s="1"/>
  <c r="L39" i="1"/>
  <c r="L40" i="1" s="1"/>
  <c r="K40" i="1"/>
  <c r="P39" i="1"/>
  <c r="B8" i="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alcChain>
</file>

<file path=xl/sharedStrings.xml><?xml version="1.0" encoding="utf-8"?>
<sst xmlns="http://schemas.openxmlformats.org/spreadsheetml/2006/main" count="1726" uniqueCount="984">
  <si>
    <t>S.NO</t>
  </si>
  <si>
    <t>Improvement of patient record systems</t>
  </si>
  <si>
    <t>Outsourcing of lab and pharmaceutical services</t>
  </si>
  <si>
    <t>Quality Enhancement</t>
  </si>
  <si>
    <t>Operational Heads</t>
  </si>
  <si>
    <t>Total</t>
  </si>
  <si>
    <t>POL Charges</t>
  </si>
  <si>
    <t>Repair and Maintenance of Vehicle</t>
  </si>
  <si>
    <t>Conferences/Seminars/Workshops/Symposia</t>
  </si>
  <si>
    <t>Rent and Maintenance of Office</t>
  </si>
  <si>
    <t>Advertisement and Promotional activities</t>
  </si>
  <si>
    <t>Computer Software &amp; Accessories</t>
  </si>
  <si>
    <t>Output Indicators</t>
  </si>
  <si>
    <t>Outputs/Activities</t>
  </si>
  <si>
    <t>Annexures</t>
  </si>
  <si>
    <t>Codes as per IUFRs</t>
  </si>
  <si>
    <t>Geographic Focus</t>
  </si>
  <si>
    <t>Timeframe</t>
  </si>
  <si>
    <t>Q1</t>
  </si>
  <si>
    <t>Q2</t>
  </si>
  <si>
    <t>Q3</t>
  </si>
  <si>
    <t>Q4</t>
  </si>
  <si>
    <t>Implementaion Modalities</t>
  </si>
  <si>
    <t>Targets</t>
  </si>
  <si>
    <t>Account Codes as per CoA</t>
  </si>
  <si>
    <t>Unit Cost</t>
  </si>
  <si>
    <t>S.#</t>
  </si>
  <si>
    <t>Designation</t>
  </si>
  <si>
    <t>BPS/MP</t>
  </si>
  <si>
    <t xml:space="preserve">No. </t>
  </si>
  <si>
    <t>Salary Per Month</t>
  </si>
  <si>
    <t>FY 22</t>
  </si>
  <si>
    <t>FY 23</t>
  </si>
  <si>
    <t>FY 24</t>
  </si>
  <si>
    <t>FY 25</t>
  </si>
  <si>
    <t>Project Director</t>
  </si>
  <si>
    <t>Deputy Project Director</t>
  </si>
  <si>
    <t xml:space="preserve">Financial Management Specialist </t>
  </si>
  <si>
    <t>Market Based Salary Package</t>
  </si>
  <si>
    <t>Procurement Specialist</t>
  </si>
  <si>
    <t xml:space="preserve">MIS Officer </t>
  </si>
  <si>
    <t xml:space="preserve">Accountant </t>
  </si>
  <si>
    <t>Receptionist</t>
  </si>
  <si>
    <t>Driver</t>
  </si>
  <si>
    <t>Naib Qasid</t>
  </si>
  <si>
    <t>Cleaner/Sweeper</t>
  </si>
  <si>
    <t>Security Guard/Chowkidar</t>
  </si>
  <si>
    <t>A</t>
  </si>
  <si>
    <t>Annexure "A" HR/Salary Component</t>
  </si>
  <si>
    <t>IOC</t>
  </si>
  <si>
    <t>B</t>
  </si>
  <si>
    <t>Peshawar</t>
  </si>
  <si>
    <t>Hired/Project Staff</t>
  </si>
  <si>
    <t>Office Assistants</t>
  </si>
  <si>
    <t xml:space="preserve">A01-
Employ related Expenses
</t>
  </si>
  <si>
    <t>S.No.</t>
  </si>
  <si>
    <t>Accounts Code</t>
  </si>
  <si>
    <t>Consumable Materials and Supplies</t>
  </si>
  <si>
    <t>A03-
Operating Expenses</t>
  </si>
  <si>
    <t>PMU KP HCIP</t>
  </si>
  <si>
    <t>Advertising and Newspaper Subscription</t>
  </si>
  <si>
    <t>Traning and Workshop</t>
  </si>
  <si>
    <t>Repair of Equipment</t>
  </si>
  <si>
    <t>Non Consulting Services</t>
  </si>
  <si>
    <t>Annexure "B" Non Salary Component</t>
  </si>
  <si>
    <t>Haripur, Nowshera, Peshawar &amp; Swabi</t>
  </si>
  <si>
    <t>Consultancy Firm along with supervision of PMU</t>
  </si>
  <si>
    <t>Consulting Services</t>
  </si>
  <si>
    <t>Hiring of Consultancy Firm</t>
  </si>
  <si>
    <t>A037-
Consultancy &amp; Contractual work</t>
  </si>
  <si>
    <t>Civil Works</t>
  </si>
  <si>
    <t>HCC along with supervision of PMU</t>
  </si>
  <si>
    <t>A03901</t>
  </si>
  <si>
    <t>A03807</t>
  </si>
  <si>
    <t>A03805</t>
  </si>
  <si>
    <t>A13001</t>
  </si>
  <si>
    <t>A03970</t>
  </si>
  <si>
    <t>A03402</t>
  </si>
  <si>
    <t>A03905</t>
  </si>
  <si>
    <t>A13101</t>
  </si>
  <si>
    <t>A09202</t>
  </si>
  <si>
    <t>A03903</t>
  </si>
  <si>
    <t>A03907</t>
  </si>
  <si>
    <t>Goods (Tangible and Intangible)</t>
  </si>
  <si>
    <t>A09601</t>
  </si>
  <si>
    <t>Puchase of Plant and Machinery</t>
  </si>
  <si>
    <t>Telephone Charges
Gas Charges
Electricity Charges
Printing
Stationary
Convence 
Repair &amp; Maintanance of vehicle
TA/DA
Confrence
Newspaper
Entertainment 
Advertisement &amp; Promotion etc</t>
  </si>
  <si>
    <t>A-09 Expenditure on acquiring of Physical Assets</t>
  </si>
  <si>
    <t>DEPARTMENT OF HEALTH</t>
  </si>
  <si>
    <t>KHYBER PAKHTUNKHWA HUMAN CAPITAL INVESTMENT PROJECT</t>
  </si>
  <si>
    <t>Remarks</t>
  </si>
  <si>
    <t>Purchase of various kind of softwares for HRM, FMIS etc for PMU office for the current financial year</t>
  </si>
  <si>
    <t>IUFR Code</t>
  </si>
  <si>
    <t>A09701</t>
  </si>
  <si>
    <t>Purchase of Computers</t>
  </si>
  <si>
    <t>A09201</t>
  </si>
  <si>
    <t>Purchase of Furniture &amp; Fixtures</t>
  </si>
  <si>
    <t>Purchase of Furniture and Fixtures</t>
  </si>
  <si>
    <t>Purchase of Computers and Accessories</t>
  </si>
  <si>
    <t>Consultancy Firm (Design &amp; Supervision) along with supervision of PMU</t>
  </si>
  <si>
    <t>C</t>
  </si>
  <si>
    <t>DISTRICT PESHAWAR</t>
  </si>
  <si>
    <t>BASIC HEALTH UNIT</t>
  </si>
  <si>
    <t>Name</t>
  </si>
  <si>
    <t>District</t>
  </si>
  <si>
    <t>BHU Adizai</t>
  </si>
  <si>
    <t>BHU Barber Uppazai</t>
  </si>
  <si>
    <t>BHU Bazid Khel</t>
  </si>
  <si>
    <t>BHU Budhai</t>
  </si>
  <si>
    <t>BHU Chamkani</t>
  </si>
  <si>
    <t>BHU Charperiza</t>
  </si>
  <si>
    <t>BHU Darmangi</t>
  </si>
  <si>
    <t>BHU Faqir Killi</t>
  </si>
  <si>
    <t>BHU Fida Abad</t>
  </si>
  <si>
    <t>BHU Governor House</t>
  </si>
  <si>
    <t>BHU Gulshan-E-Rehman</t>
  </si>
  <si>
    <t>BHU Hazar Khawani</t>
  </si>
  <si>
    <t>BHU Jhagra</t>
  </si>
  <si>
    <t>BHU Jogani</t>
  </si>
  <si>
    <t>BHU Kharaki</t>
  </si>
  <si>
    <t>BHU Shagi Bala(Khatki)</t>
  </si>
  <si>
    <t>BHU Khazana</t>
  </si>
  <si>
    <t>BHU Kafoor Dheri</t>
  </si>
  <si>
    <t>BHU Lala Killi</t>
  </si>
  <si>
    <t>BHU Maira Surizai</t>
  </si>
  <si>
    <t>BHU Masho Khel</t>
  </si>
  <si>
    <t>BHU Maryam Zai</t>
  </si>
  <si>
    <t>BHU Mashogagar</t>
  </si>
  <si>
    <t>BHU Nasir Bagh</t>
  </si>
  <si>
    <t>BHU Mandra Khel(Pajagi)</t>
  </si>
  <si>
    <t xml:space="preserve">BHU Pakha Ghulam </t>
  </si>
  <si>
    <t>BHU Palosai</t>
  </si>
  <si>
    <t>BHU Phandoo Payan</t>
  </si>
  <si>
    <t>BHU Pishta Khara</t>
  </si>
  <si>
    <t>BHU Saeed Abad</t>
  </si>
  <si>
    <t>BHU Sarband</t>
  </si>
  <si>
    <t>BHU Tarai Payan(Shaqi H.K)</t>
  </si>
  <si>
    <t>BHU Sheikh Mohammadi</t>
  </si>
  <si>
    <t>BHU Sherkera</t>
  </si>
  <si>
    <t>BHU Sufaid Dheri</t>
  </si>
  <si>
    <t>BHU Surizai Bala</t>
  </si>
  <si>
    <t>BHU Tela Band</t>
  </si>
  <si>
    <t>BHU Urmer Payan</t>
  </si>
  <si>
    <t>BHU Wadpaga</t>
  </si>
  <si>
    <t>BHU Gul Bella</t>
  </si>
  <si>
    <t>BHU Budhani</t>
  </si>
  <si>
    <t>BHU Urmer Miana</t>
  </si>
  <si>
    <t>BHU Chaghar Matti</t>
  </si>
  <si>
    <t>BHU Dalazak</t>
  </si>
  <si>
    <t>BHU Sango Landi</t>
  </si>
  <si>
    <t>BHU Aza Khel</t>
  </si>
  <si>
    <t>BHU Mathra</t>
  </si>
  <si>
    <t xml:space="preserve"> </t>
  </si>
  <si>
    <t>RURAL HEALTH CENTERS</t>
  </si>
  <si>
    <t xml:space="preserve">RHC Regi </t>
  </si>
  <si>
    <t xml:space="preserve">RHC Putwar </t>
  </si>
  <si>
    <t xml:space="preserve">RHC Takht Abad </t>
  </si>
  <si>
    <t>Secondary Care Hospitals</t>
  </si>
  <si>
    <t>S.No</t>
  </si>
  <si>
    <t>Name of Health Facility</t>
  </si>
  <si>
    <t>Category</t>
  </si>
  <si>
    <t>Molve Je Hospital Peshawar</t>
  </si>
  <si>
    <t>Sifwat Ghayur Hospital, Peshawar</t>
  </si>
  <si>
    <t>Police and Services Hospital Peshawar</t>
  </si>
  <si>
    <t>Emergency Satelite Centre Nahaqi</t>
  </si>
  <si>
    <t>Type-D Hospital Mathani</t>
  </si>
  <si>
    <t>D</t>
  </si>
  <si>
    <t>Cat-D Hospital Badaber</t>
  </si>
  <si>
    <t xml:space="preserve">Cat-D Hosital  Gara Tajik </t>
  </si>
  <si>
    <t>Govt: Maternity Hospital, Peshawar</t>
  </si>
  <si>
    <t>DISTRICT NOWSHERA</t>
  </si>
  <si>
    <r>
      <t>1.</t>
    </r>
    <r>
      <rPr>
        <sz val="7"/>
        <color theme="1"/>
        <rFont val="Times New Roman"/>
        <family val="1"/>
      </rPr>
      <t xml:space="preserve">    </t>
    </r>
    <r>
      <rPr>
        <b/>
        <sz val="12"/>
        <color theme="1"/>
        <rFont val="Arial"/>
        <family val="2"/>
      </rPr>
      <t> </t>
    </r>
  </si>
  <si>
    <t>BHU Adamzai</t>
  </si>
  <si>
    <t>Nowshera</t>
  </si>
  <si>
    <r>
      <t>2.</t>
    </r>
    <r>
      <rPr>
        <sz val="7"/>
        <color theme="1"/>
        <rFont val="Times New Roman"/>
        <family val="1"/>
      </rPr>
      <t xml:space="preserve">    </t>
    </r>
    <r>
      <rPr>
        <b/>
        <sz val="12"/>
        <color theme="1"/>
        <rFont val="Arial"/>
        <family val="2"/>
      </rPr>
      <t> </t>
    </r>
  </si>
  <si>
    <t>BHU Aman Kot</t>
  </si>
  <si>
    <r>
      <t>3.</t>
    </r>
    <r>
      <rPr>
        <sz val="7"/>
        <color theme="1"/>
        <rFont val="Times New Roman"/>
        <family val="1"/>
      </rPr>
      <t xml:space="preserve">    </t>
    </r>
    <r>
      <rPr>
        <b/>
        <sz val="12"/>
        <color theme="1"/>
        <rFont val="Arial"/>
        <family val="2"/>
      </rPr>
      <t> </t>
    </r>
  </si>
  <si>
    <t>BHU Chashmai</t>
  </si>
  <si>
    <r>
      <t>4.</t>
    </r>
    <r>
      <rPr>
        <sz val="7"/>
        <color theme="1"/>
        <rFont val="Times New Roman"/>
        <family val="1"/>
      </rPr>
      <t xml:space="preserve">    </t>
    </r>
    <r>
      <rPr>
        <b/>
        <sz val="12"/>
        <color theme="1"/>
        <rFont val="Arial"/>
        <family val="2"/>
      </rPr>
      <t> </t>
    </r>
  </si>
  <si>
    <t>BHU Badrashi</t>
  </si>
  <si>
    <r>
      <t>5.</t>
    </r>
    <r>
      <rPr>
        <sz val="7"/>
        <color theme="1"/>
        <rFont val="Times New Roman"/>
        <family val="1"/>
      </rPr>
      <t xml:space="preserve">    </t>
    </r>
    <r>
      <rPr>
        <b/>
        <sz val="12"/>
        <color theme="1"/>
        <rFont val="Arial"/>
        <family val="2"/>
      </rPr>
      <t> </t>
    </r>
  </si>
  <si>
    <t>BHU Behram Killay</t>
  </si>
  <si>
    <r>
      <t>6.</t>
    </r>
    <r>
      <rPr>
        <sz val="7"/>
        <color theme="1"/>
        <rFont val="Times New Roman"/>
        <family val="1"/>
      </rPr>
      <t xml:space="preserve">    </t>
    </r>
    <r>
      <rPr>
        <b/>
        <sz val="12"/>
        <color theme="1"/>
        <rFont val="Arial"/>
        <family val="2"/>
      </rPr>
      <t> </t>
    </r>
  </si>
  <si>
    <t>BHU Dag Basud</t>
  </si>
  <si>
    <r>
      <t>7.</t>
    </r>
    <r>
      <rPr>
        <sz val="7"/>
        <color theme="1"/>
        <rFont val="Times New Roman"/>
        <family val="1"/>
      </rPr>
      <t xml:space="preserve">    </t>
    </r>
    <r>
      <rPr>
        <b/>
        <sz val="12"/>
        <color theme="1"/>
        <rFont val="Arial"/>
        <family val="2"/>
      </rPr>
      <t> </t>
    </r>
  </si>
  <si>
    <t xml:space="preserve">BHU Dagai </t>
  </si>
  <si>
    <r>
      <t>8.</t>
    </r>
    <r>
      <rPr>
        <sz val="7"/>
        <color theme="1"/>
        <rFont val="Times New Roman"/>
        <family val="1"/>
      </rPr>
      <t xml:space="preserve">    </t>
    </r>
    <r>
      <rPr>
        <b/>
        <sz val="12"/>
        <color theme="1"/>
        <rFont val="Arial"/>
        <family val="2"/>
      </rPr>
      <t> </t>
    </r>
  </si>
  <si>
    <t>BHU Inzurai</t>
  </si>
  <si>
    <r>
      <t>9.</t>
    </r>
    <r>
      <rPr>
        <sz val="7"/>
        <color theme="1"/>
        <rFont val="Times New Roman"/>
        <family val="1"/>
      </rPr>
      <t xml:space="preserve">    </t>
    </r>
    <r>
      <rPr>
        <b/>
        <sz val="12"/>
        <color theme="1"/>
        <rFont val="Arial"/>
        <family val="2"/>
      </rPr>
      <t> </t>
    </r>
  </si>
  <si>
    <t>BHU Manduri</t>
  </si>
  <si>
    <r>
      <t>10.</t>
    </r>
    <r>
      <rPr>
        <sz val="7"/>
        <color theme="1"/>
        <rFont val="Times New Roman"/>
        <family val="1"/>
      </rPr>
      <t xml:space="preserve"> </t>
    </r>
    <r>
      <rPr>
        <b/>
        <sz val="12"/>
        <color theme="1"/>
        <rFont val="Arial"/>
        <family val="2"/>
      </rPr>
      <t> </t>
    </r>
  </si>
  <si>
    <t>BHU Jalozai</t>
  </si>
  <si>
    <r>
      <t>11.</t>
    </r>
    <r>
      <rPr>
        <sz val="7"/>
        <color theme="1"/>
        <rFont val="Times New Roman"/>
        <family val="1"/>
      </rPr>
      <t xml:space="preserve"> </t>
    </r>
    <r>
      <rPr>
        <b/>
        <sz val="12"/>
        <color theme="1"/>
        <rFont val="Arial"/>
        <family val="2"/>
      </rPr>
      <t> </t>
    </r>
  </si>
  <si>
    <t>BHU Jehangira</t>
  </si>
  <si>
    <r>
      <t>12.</t>
    </r>
    <r>
      <rPr>
        <sz val="7"/>
        <color theme="1"/>
        <rFont val="Times New Roman"/>
        <family val="1"/>
      </rPr>
      <t xml:space="preserve"> </t>
    </r>
    <r>
      <rPr>
        <b/>
        <sz val="12"/>
        <color theme="1"/>
        <rFont val="Arial"/>
        <family val="2"/>
      </rPr>
      <t> </t>
    </r>
  </si>
  <si>
    <t>BHU Khush Maqam</t>
  </si>
  <si>
    <r>
      <t>13.</t>
    </r>
    <r>
      <rPr>
        <sz val="7"/>
        <color theme="1"/>
        <rFont val="Times New Roman"/>
        <family val="1"/>
      </rPr>
      <t xml:space="preserve"> </t>
    </r>
    <r>
      <rPr>
        <b/>
        <sz val="12"/>
        <color theme="1"/>
        <rFont val="Arial"/>
        <family val="2"/>
      </rPr>
      <t> </t>
    </r>
  </si>
  <si>
    <t>BHU Manai</t>
  </si>
  <si>
    <r>
      <t>14.</t>
    </r>
    <r>
      <rPr>
        <sz val="7"/>
        <color theme="1"/>
        <rFont val="Times New Roman"/>
        <family val="1"/>
      </rPr>
      <t xml:space="preserve"> </t>
    </r>
    <r>
      <rPr>
        <b/>
        <sz val="12"/>
        <color theme="1"/>
        <rFont val="Arial"/>
        <family val="2"/>
      </rPr>
      <t> </t>
    </r>
  </si>
  <si>
    <t>BHU Misri Banda</t>
  </si>
  <si>
    <r>
      <t>15.</t>
    </r>
    <r>
      <rPr>
        <sz val="7"/>
        <color theme="1"/>
        <rFont val="Times New Roman"/>
        <family val="1"/>
      </rPr>
      <t xml:space="preserve"> </t>
    </r>
    <r>
      <rPr>
        <b/>
        <sz val="12"/>
        <color theme="1"/>
        <rFont val="Arial"/>
        <family val="2"/>
      </rPr>
      <t> </t>
    </r>
  </si>
  <si>
    <t>BHU Mohib Banda</t>
  </si>
  <si>
    <r>
      <t>16.</t>
    </r>
    <r>
      <rPr>
        <sz val="7"/>
        <color theme="1"/>
        <rFont val="Times New Roman"/>
        <family val="1"/>
      </rPr>
      <t xml:space="preserve"> </t>
    </r>
    <r>
      <rPr>
        <b/>
        <sz val="12"/>
        <color theme="1"/>
        <rFont val="Arial"/>
        <family val="2"/>
      </rPr>
      <t> </t>
    </r>
  </si>
  <si>
    <t>BHU Mughal Kai</t>
  </si>
  <si>
    <r>
      <t>17.</t>
    </r>
    <r>
      <rPr>
        <sz val="7"/>
        <color theme="1"/>
        <rFont val="Times New Roman"/>
        <family val="1"/>
      </rPr>
      <t xml:space="preserve"> </t>
    </r>
    <r>
      <rPr>
        <b/>
        <sz val="12"/>
        <color theme="1"/>
        <rFont val="Arial"/>
        <family val="2"/>
      </rPr>
      <t> </t>
    </r>
  </si>
  <si>
    <t>BHU Pahari Kati Khel</t>
  </si>
  <si>
    <r>
      <t>18.</t>
    </r>
    <r>
      <rPr>
        <sz val="7"/>
        <color theme="1"/>
        <rFont val="Times New Roman"/>
        <family val="1"/>
      </rPr>
      <t xml:space="preserve"> </t>
    </r>
    <r>
      <rPr>
        <b/>
        <sz val="12"/>
        <color theme="1"/>
        <rFont val="Arial"/>
        <family val="2"/>
      </rPr>
      <t> </t>
    </r>
  </si>
  <si>
    <t>BHU Pir Sabak</t>
  </si>
  <si>
    <r>
      <t>19.</t>
    </r>
    <r>
      <rPr>
        <sz val="7"/>
        <color theme="1"/>
        <rFont val="Times New Roman"/>
        <family val="1"/>
      </rPr>
      <t xml:space="preserve"> </t>
    </r>
    <r>
      <rPr>
        <b/>
        <sz val="12"/>
        <color theme="1"/>
        <rFont val="Arial"/>
        <family val="2"/>
      </rPr>
      <t> </t>
    </r>
  </si>
  <si>
    <t>BHU Rashakai</t>
  </si>
  <si>
    <r>
      <t>20.</t>
    </r>
    <r>
      <rPr>
        <sz val="7"/>
        <color theme="1"/>
        <rFont val="Times New Roman"/>
        <family val="1"/>
      </rPr>
      <t xml:space="preserve"> </t>
    </r>
    <r>
      <rPr>
        <b/>
        <sz val="12"/>
        <color theme="1"/>
        <rFont val="Arial"/>
        <family val="2"/>
      </rPr>
      <t> </t>
    </r>
  </si>
  <si>
    <t>BHU Saleh Khana</t>
  </si>
  <si>
    <r>
      <t>21.</t>
    </r>
    <r>
      <rPr>
        <sz val="7"/>
        <color theme="1"/>
        <rFont val="Times New Roman"/>
        <family val="1"/>
      </rPr>
      <t xml:space="preserve"> </t>
    </r>
    <r>
      <rPr>
        <b/>
        <sz val="12"/>
        <color theme="1"/>
        <rFont val="Arial"/>
        <family val="2"/>
      </rPr>
      <t> </t>
    </r>
  </si>
  <si>
    <t>BHU Shaidu</t>
  </si>
  <si>
    <r>
      <t>22.</t>
    </r>
    <r>
      <rPr>
        <sz val="7"/>
        <color theme="1"/>
        <rFont val="Times New Roman"/>
        <family val="1"/>
      </rPr>
      <t xml:space="preserve"> </t>
    </r>
    <r>
      <rPr>
        <b/>
        <sz val="12"/>
        <color theme="1"/>
        <rFont val="Arial"/>
        <family val="2"/>
      </rPr>
      <t> </t>
    </r>
  </si>
  <si>
    <t>BHU Sheikhai</t>
  </si>
  <si>
    <r>
      <t>23.</t>
    </r>
    <r>
      <rPr>
        <sz val="7"/>
        <color theme="1"/>
        <rFont val="Times New Roman"/>
        <family val="1"/>
      </rPr>
      <t xml:space="preserve"> </t>
    </r>
    <r>
      <rPr>
        <b/>
        <sz val="12"/>
        <color theme="1"/>
        <rFont val="Arial"/>
        <family val="2"/>
      </rPr>
      <t> </t>
    </r>
  </si>
  <si>
    <t>BHU Spin Khak</t>
  </si>
  <si>
    <r>
      <t>24.</t>
    </r>
    <r>
      <rPr>
        <sz val="7"/>
        <color theme="1"/>
        <rFont val="Times New Roman"/>
        <family val="1"/>
      </rPr>
      <t xml:space="preserve"> </t>
    </r>
    <r>
      <rPr>
        <b/>
        <sz val="12"/>
        <color theme="1"/>
        <rFont val="Arial"/>
        <family val="2"/>
      </rPr>
      <t> </t>
    </r>
  </si>
  <si>
    <t>BHU Taru Jabba</t>
  </si>
  <si>
    <r>
      <t>25.</t>
    </r>
    <r>
      <rPr>
        <sz val="7"/>
        <color theme="1"/>
        <rFont val="Times New Roman"/>
        <family val="1"/>
      </rPr>
      <t xml:space="preserve"> </t>
    </r>
    <r>
      <rPr>
        <b/>
        <sz val="12"/>
        <color theme="1"/>
        <rFont val="Arial"/>
        <family val="2"/>
      </rPr>
      <t> </t>
    </r>
  </si>
  <si>
    <t>BHU Wazir Garhi</t>
  </si>
  <si>
    <r>
      <t>26.</t>
    </r>
    <r>
      <rPr>
        <sz val="7"/>
        <color theme="1"/>
        <rFont val="Times New Roman"/>
        <family val="1"/>
      </rPr>
      <t xml:space="preserve"> </t>
    </r>
    <r>
      <rPr>
        <b/>
        <sz val="12"/>
        <color theme="1"/>
        <rFont val="Arial"/>
        <family val="2"/>
      </rPr>
      <t> </t>
    </r>
  </si>
  <si>
    <t>BHU Mama Khel</t>
  </si>
  <si>
    <r>
      <t>27.</t>
    </r>
    <r>
      <rPr>
        <sz val="7"/>
        <color theme="1"/>
        <rFont val="Times New Roman"/>
        <family val="1"/>
      </rPr>
      <t xml:space="preserve"> </t>
    </r>
    <r>
      <rPr>
        <b/>
        <sz val="12"/>
        <color theme="1"/>
        <rFont val="Arial"/>
        <family val="2"/>
      </rPr>
      <t> </t>
    </r>
  </si>
  <si>
    <t>BHU Banda Mullahan</t>
  </si>
  <si>
    <r>
      <t>28.</t>
    </r>
    <r>
      <rPr>
        <sz val="7"/>
        <color theme="1"/>
        <rFont val="Times New Roman"/>
        <family val="1"/>
      </rPr>
      <t xml:space="preserve"> </t>
    </r>
    <r>
      <rPr>
        <b/>
        <sz val="12"/>
        <color theme="1"/>
        <rFont val="Arial"/>
        <family val="2"/>
      </rPr>
      <t> </t>
    </r>
  </si>
  <si>
    <t>BHU Gandheri</t>
  </si>
  <si>
    <r>
      <t>29.</t>
    </r>
    <r>
      <rPr>
        <sz val="7"/>
        <color theme="1"/>
        <rFont val="Times New Roman"/>
        <family val="1"/>
      </rPr>
      <t xml:space="preserve"> </t>
    </r>
    <r>
      <rPr>
        <b/>
        <sz val="12"/>
        <color theme="1"/>
        <rFont val="Arial"/>
        <family val="2"/>
      </rPr>
      <t> </t>
    </r>
  </si>
  <si>
    <t>BHU Azakhel</t>
  </si>
  <si>
    <t>RHC Akbar Pura</t>
  </si>
  <si>
    <t>RHC Kheshki</t>
  </si>
  <si>
    <t>RHC Khair Abad</t>
  </si>
  <si>
    <t>RHC Pir Pai</t>
  </si>
  <si>
    <t xml:space="preserve">RHC Nizam Pur </t>
  </si>
  <si>
    <t>RHC Kahi</t>
  </si>
  <si>
    <t>Categry -D Hospital Kaka Sahib</t>
  </si>
  <si>
    <t>Categry -D Hospital Akora Khattak</t>
  </si>
  <si>
    <t>Categry -D Hospital Manki Sharif</t>
  </si>
  <si>
    <t>Categry -D Hospital Dak Ismail Khel</t>
  </si>
  <si>
    <t>Type-D Hospital Nizampur</t>
  </si>
  <si>
    <t>DISTRICT SWABI</t>
  </si>
  <si>
    <t>BHU Dagai</t>
  </si>
  <si>
    <t>Swabi</t>
  </si>
  <si>
    <t>BHU Jalbai</t>
  </si>
  <si>
    <t>BHU Jalsai</t>
  </si>
  <si>
    <t>BHU Lahore Poray</t>
  </si>
  <si>
    <t>BHU Lahore Rapory</t>
  </si>
  <si>
    <t>BHU Mangolchai</t>
  </si>
  <si>
    <t>BHU Mankai</t>
  </si>
  <si>
    <t>BHU Qadra</t>
  </si>
  <si>
    <t>BHU Shah Mansoor</t>
  </si>
  <si>
    <t>BHU Tarakai</t>
  </si>
  <si>
    <t>BHU Bachai</t>
  </si>
  <si>
    <t>BHU Parmoli(Bahadar Abad)</t>
  </si>
  <si>
    <t>BHU Baja</t>
  </si>
  <si>
    <t>BHU Dhobian</t>
  </si>
  <si>
    <t>BHU Fazal Abad</t>
  </si>
  <si>
    <t>BHU Gandaf</t>
  </si>
  <si>
    <t>BHU Gani Chatra</t>
  </si>
  <si>
    <t>BHU Ismaila</t>
  </si>
  <si>
    <t>BHU Kalabat</t>
  </si>
  <si>
    <t>BHU Mian Killi</t>
  </si>
  <si>
    <t>BHU Maini</t>
  </si>
  <si>
    <t>BHU Sadri Jadid</t>
  </si>
  <si>
    <t>BHU Sard China</t>
  </si>
  <si>
    <t>BHU Zaida</t>
  </si>
  <si>
    <t>BHU Zarobi</t>
  </si>
  <si>
    <t>BHU Adina</t>
  </si>
  <si>
    <t>BHU Beta Kara</t>
  </si>
  <si>
    <t>BHU Dheri Zakria</t>
  </si>
  <si>
    <r>
      <t>30.</t>
    </r>
    <r>
      <rPr>
        <sz val="7"/>
        <color theme="1"/>
        <rFont val="Times New Roman"/>
        <family val="1"/>
      </rPr>
      <t xml:space="preserve"> </t>
    </r>
    <r>
      <rPr>
        <b/>
        <sz val="12"/>
        <color theme="1"/>
        <rFont val="Arial"/>
        <family val="2"/>
      </rPr>
      <t> </t>
    </r>
  </si>
  <si>
    <t>BHU Check Nodeh</t>
  </si>
  <si>
    <r>
      <t>31.</t>
    </r>
    <r>
      <rPr>
        <sz val="7"/>
        <color theme="1"/>
        <rFont val="Times New Roman"/>
        <family val="1"/>
      </rPr>
      <t xml:space="preserve"> </t>
    </r>
    <r>
      <rPr>
        <b/>
        <sz val="12"/>
        <color theme="1"/>
        <rFont val="Arial"/>
        <family val="2"/>
      </rPr>
      <t> </t>
    </r>
  </si>
  <si>
    <t>BHU Punj Pir</t>
  </si>
  <si>
    <r>
      <t>32.</t>
    </r>
    <r>
      <rPr>
        <sz val="7"/>
        <color theme="1"/>
        <rFont val="Times New Roman"/>
        <family val="1"/>
      </rPr>
      <t xml:space="preserve"> </t>
    </r>
    <r>
      <rPr>
        <b/>
        <sz val="12"/>
        <color theme="1"/>
        <rFont val="Arial"/>
        <family val="2"/>
      </rPr>
      <t> </t>
    </r>
  </si>
  <si>
    <t>BHU Salim Khan</t>
  </si>
  <si>
    <r>
      <t>33.</t>
    </r>
    <r>
      <rPr>
        <sz val="7"/>
        <color theme="1"/>
        <rFont val="Times New Roman"/>
        <family val="1"/>
      </rPr>
      <t xml:space="preserve"> </t>
    </r>
    <r>
      <rPr>
        <b/>
        <sz val="12"/>
        <color theme="1"/>
        <rFont val="Arial"/>
        <family val="2"/>
      </rPr>
      <t> </t>
    </r>
  </si>
  <si>
    <t>BHU Tando Kohi</t>
  </si>
  <si>
    <r>
      <t>34.</t>
    </r>
    <r>
      <rPr>
        <sz val="7"/>
        <color theme="1"/>
        <rFont val="Times New Roman"/>
        <family val="1"/>
      </rPr>
      <t xml:space="preserve"> </t>
    </r>
    <r>
      <rPr>
        <b/>
        <sz val="12"/>
        <color theme="1"/>
        <rFont val="Arial"/>
        <family val="2"/>
      </rPr>
      <t> </t>
    </r>
  </si>
  <si>
    <t>BHU Yaqoobai</t>
  </si>
  <si>
    <r>
      <t>35.</t>
    </r>
    <r>
      <rPr>
        <sz val="7"/>
        <color theme="1"/>
        <rFont val="Times New Roman"/>
        <family val="1"/>
      </rPr>
      <t xml:space="preserve"> </t>
    </r>
    <r>
      <rPr>
        <b/>
        <sz val="12"/>
        <color theme="1"/>
        <rFont val="Arial"/>
        <family val="2"/>
      </rPr>
      <t> </t>
    </r>
  </si>
  <si>
    <t>BHU Gabasni</t>
  </si>
  <si>
    <t>RHC Marghuz</t>
  </si>
  <si>
    <t>RHC Sheikh Jana</t>
  </si>
  <si>
    <t xml:space="preserve">RHC, Ambar Kunda </t>
  </si>
  <si>
    <t>RHC, Kotha</t>
  </si>
  <si>
    <t>RHC, Tordher</t>
  </si>
  <si>
    <t>RHC, Shewa</t>
  </si>
  <si>
    <t>RHC Kabganai</t>
  </si>
  <si>
    <t>RHC Janda</t>
  </si>
  <si>
    <t>RHC Beka</t>
  </si>
  <si>
    <t>Categry -C Hospital Topi</t>
  </si>
  <si>
    <t>THQ Lahor</t>
  </si>
  <si>
    <t xml:space="preserve">Categry -D Kalu khan </t>
  </si>
  <si>
    <t>Categry -D Yar Hussain</t>
  </si>
  <si>
    <t>DISTRICT HARIPUR</t>
  </si>
  <si>
    <r>
      <t>1.</t>
    </r>
    <r>
      <rPr>
        <sz val="7"/>
        <color theme="1"/>
        <rFont val="Times New Roman"/>
        <family val="1"/>
      </rPr>
      <t xml:space="preserve">    </t>
    </r>
    <r>
      <rPr>
        <sz val="11"/>
        <color theme="1"/>
        <rFont val="Arial"/>
        <family val="2"/>
      </rPr>
      <t> </t>
    </r>
  </si>
  <si>
    <t>BHU Amgah</t>
  </si>
  <si>
    <t>Haripur</t>
  </si>
  <si>
    <r>
      <t>2.</t>
    </r>
    <r>
      <rPr>
        <sz val="7"/>
        <color theme="1"/>
        <rFont val="Times New Roman"/>
        <family val="1"/>
      </rPr>
      <t xml:space="preserve">    </t>
    </r>
    <r>
      <rPr>
        <sz val="11"/>
        <color theme="1"/>
        <rFont val="Arial"/>
        <family val="2"/>
      </rPr>
      <t> </t>
    </r>
  </si>
  <si>
    <t>BHU Bandi Sher Khan</t>
  </si>
  <si>
    <r>
      <t>3.</t>
    </r>
    <r>
      <rPr>
        <sz val="7"/>
        <color theme="1"/>
        <rFont val="Times New Roman"/>
        <family val="1"/>
      </rPr>
      <t xml:space="preserve">    </t>
    </r>
    <r>
      <rPr>
        <sz val="11"/>
        <color theme="1"/>
        <rFont val="Arial"/>
        <family val="2"/>
      </rPr>
      <t> </t>
    </r>
  </si>
  <si>
    <t>BHU Bagra</t>
  </si>
  <si>
    <r>
      <t>4.</t>
    </r>
    <r>
      <rPr>
        <sz val="7"/>
        <color theme="1"/>
        <rFont val="Times New Roman"/>
        <family val="1"/>
      </rPr>
      <t xml:space="preserve">    </t>
    </r>
    <r>
      <rPr>
        <b/>
        <sz val="11"/>
        <color theme="1"/>
        <rFont val="Arial"/>
        <family val="2"/>
      </rPr>
      <t> </t>
    </r>
  </si>
  <si>
    <t>BHU Barakot</t>
  </si>
  <si>
    <r>
      <t>5.</t>
    </r>
    <r>
      <rPr>
        <sz val="7"/>
        <color theme="1"/>
        <rFont val="Times New Roman"/>
        <family val="1"/>
      </rPr>
      <t xml:space="preserve">    </t>
    </r>
    <r>
      <rPr>
        <b/>
        <sz val="11"/>
        <color theme="1"/>
        <rFont val="Arial"/>
        <family val="2"/>
      </rPr>
      <t> </t>
    </r>
  </si>
  <si>
    <t>BHU Beer</t>
  </si>
  <si>
    <r>
      <t>6.</t>
    </r>
    <r>
      <rPr>
        <sz val="7"/>
        <color theme="1"/>
        <rFont val="Times New Roman"/>
        <family val="1"/>
      </rPr>
      <t xml:space="preserve">    </t>
    </r>
    <r>
      <rPr>
        <b/>
        <sz val="11"/>
        <color theme="1"/>
        <rFont val="Arial"/>
        <family val="2"/>
      </rPr>
      <t> </t>
    </r>
  </si>
  <si>
    <t xml:space="preserve">BHU Burg </t>
  </si>
  <si>
    <r>
      <t>7.</t>
    </r>
    <r>
      <rPr>
        <sz val="7"/>
        <color theme="1"/>
        <rFont val="Times New Roman"/>
        <family val="1"/>
      </rPr>
      <t xml:space="preserve">    </t>
    </r>
    <r>
      <rPr>
        <b/>
        <sz val="11"/>
        <color theme="1"/>
        <rFont val="Arial"/>
        <family val="2"/>
      </rPr>
      <t> </t>
    </r>
  </si>
  <si>
    <t>BHU Dartian</t>
  </si>
  <si>
    <r>
      <t>8.</t>
    </r>
    <r>
      <rPr>
        <sz val="7"/>
        <color theme="1"/>
        <rFont val="Times New Roman"/>
        <family val="1"/>
      </rPr>
      <t xml:space="preserve">    </t>
    </r>
    <r>
      <rPr>
        <b/>
        <sz val="11"/>
        <color theme="1"/>
        <rFont val="Arial"/>
        <family val="2"/>
      </rPr>
      <t> </t>
    </r>
  </si>
  <si>
    <t>BHU Dhenda</t>
  </si>
  <si>
    <r>
      <t>9.</t>
    </r>
    <r>
      <rPr>
        <sz val="7"/>
        <color theme="1"/>
        <rFont val="Times New Roman"/>
        <family val="1"/>
      </rPr>
      <t xml:space="preserve">    </t>
    </r>
    <r>
      <rPr>
        <b/>
        <sz val="11"/>
        <color theme="1"/>
        <rFont val="Arial"/>
        <family val="2"/>
      </rPr>
      <t> </t>
    </r>
  </si>
  <si>
    <t>BHU Dingi</t>
  </si>
  <si>
    <r>
      <t>10.</t>
    </r>
    <r>
      <rPr>
        <sz val="7"/>
        <color theme="1"/>
        <rFont val="Times New Roman"/>
        <family val="1"/>
      </rPr>
      <t xml:space="preserve">  </t>
    </r>
    <r>
      <rPr>
        <b/>
        <sz val="11"/>
        <color theme="1"/>
        <rFont val="Arial"/>
        <family val="2"/>
      </rPr>
      <t> </t>
    </r>
  </si>
  <si>
    <t>BHU Gadwalian</t>
  </si>
  <si>
    <r>
      <t>11.</t>
    </r>
    <r>
      <rPr>
        <sz val="7"/>
        <color theme="1"/>
        <rFont val="Times New Roman"/>
        <family val="1"/>
      </rPr>
      <t xml:space="preserve">  </t>
    </r>
    <r>
      <rPr>
        <b/>
        <sz val="11"/>
        <color theme="1"/>
        <rFont val="Arial"/>
        <family val="2"/>
      </rPr>
      <t> </t>
    </r>
  </si>
  <si>
    <t>BHU Ghumanwan</t>
  </si>
  <si>
    <r>
      <t>12.</t>
    </r>
    <r>
      <rPr>
        <sz val="7"/>
        <color theme="1"/>
        <rFont val="Times New Roman"/>
        <family val="1"/>
      </rPr>
      <t xml:space="preserve">  </t>
    </r>
    <r>
      <rPr>
        <b/>
        <sz val="11"/>
        <color theme="1"/>
        <rFont val="Arial"/>
        <family val="2"/>
      </rPr>
      <t> </t>
    </r>
  </si>
  <si>
    <t>BHU Gali Amazi</t>
  </si>
  <si>
    <r>
      <t>13.</t>
    </r>
    <r>
      <rPr>
        <sz val="7"/>
        <color theme="1"/>
        <rFont val="Times New Roman"/>
        <family val="1"/>
      </rPr>
      <t xml:space="preserve">  </t>
    </r>
    <r>
      <rPr>
        <b/>
        <sz val="11"/>
        <color theme="1"/>
        <rFont val="Arial"/>
        <family val="2"/>
      </rPr>
      <t> </t>
    </r>
  </si>
  <si>
    <t>BHU Hattar</t>
  </si>
  <si>
    <r>
      <t>14.</t>
    </r>
    <r>
      <rPr>
        <sz val="7"/>
        <color theme="1"/>
        <rFont val="Times New Roman"/>
        <family val="1"/>
      </rPr>
      <t xml:space="preserve">  </t>
    </r>
    <r>
      <rPr>
        <b/>
        <sz val="11"/>
        <color theme="1"/>
        <rFont val="Arial"/>
        <family val="2"/>
      </rPr>
      <t> </t>
    </r>
  </si>
  <si>
    <t>BHU Jattipind</t>
  </si>
  <si>
    <r>
      <t>15.</t>
    </r>
    <r>
      <rPr>
        <sz val="7"/>
        <color theme="1"/>
        <rFont val="Times New Roman"/>
        <family val="1"/>
      </rPr>
      <t xml:space="preserve">  </t>
    </r>
    <r>
      <rPr>
        <b/>
        <sz val="11"/>
        <color theme="1"/>
        <rFont val="Arial"/>
        <family val="2"/>
      </rPr>
      <t> </t>
    </r>
  </si>
  <si>
    <t>BHU Job</t>
  </si>
  <si>
    <r>
      <t>16.</t>
    </r>
    <r>
      <rPr>
        <sz val="7"/>
        <color theme="1"/>
        <rFont val="Times New Roman"/>
        <family val="1"/>
      </rPr>
      <t xml:space="preserve">  </t>
    </r>
    <r>
      <rPr>
        <b/>
        <sz val="11"/>
        <color theme="1"/>
        <rFont val="Arial"/>
        <family val="2"/>
      </rPr>
      <t> </t>
    </r>
  </si>
  <si>
    <t>BHU Kalinger</t>
  </si>
  <si>
    <r>
      <t>17.</t>
    </r>
    <r>
      <rPr>
        <sz val="7"/>
        <color theme="1"/>
        <rFont val="Times New Roman"/>
        <family val="1"/>
      </rPr>
      <t xml:space="preserve">  </t>
    </r>
    <r>
      <rPr>
        <b/>
        <sz val="11"/>
        <color theme="1"/>
        <rFont val="Arial"/>
        <family val="2"/>
      </rPr>
      <t> </t>
    </r>
  </si>
  <si>
    <t>BHU Kangra Colony</t>
  </si>
  <si>
    <r>
      <t>18.</t>
    </r>
    <r>
      <rPr>
        <sz val="7"/>
        <color theme="1"/>
        <rFont val="Times New Roman"/>
        <family val="1"/>
      </rPr>
      <t xml:space="preserve">  </t>
    </r>
    <r>
      <rPr>
        <b/>
        <sz val="11"/>
        <color theme="1"/>
        <rFont val="Arial"/>
        <family val="2"/>
      </rPr>
      <t> </t>
    </r>
  </si>
  <si>
    <t>BHU Kariplian</t>
  </si>
  <si>
    <r>
      <t>19.</t>
    </r>
    <r>
      <rPr>
        <sz val="7"/>
        <color theme="1"/>
        <rFont val="Times New Roman"/>
        <family val="1"/>
      </rPr>
      <t xml:space="preserve">  </t>
    </r>
    <r>
      <rPr>
        <b/>
        <sz val="11"/>
        <color theme="1"/>
        <rFont val="Arial"/>
        <family val="2"/>
      </rPr>
      <t> </t>
    </r>
  </si>
  <si>
    <t>BHU Kakotri</t>
  </si>
  <si>
    <r>
      <t>20.</t>
    </r>
    <r>
      <rPr>
        <sz val="7"/>
        <color theme="1"/>
        <rFont val="Times New Roman"/>
        <family val="1"/>
      </rPr>
      <t xml:space="preserve">  </t>
    </r>
    <r>
      <rPr>
        <b/>
        <sz val="11"/>
        <color theme="1"/>
        <rFont val="Arial"/>
        <family val="2"/>
      </rPr>
      <t> </t>
    </r>
  </si>
  <si>
    <t>BHU Kohi Nara</t>
  </si>
  <si>
    <r>
      <t>21.</t>
    </r>
    <r>
      <rPr>
        <sz val="7"/>
        <color theme="1"/>
        <rFont val="Times New Roman"/>
        <family val="1"/>
      </rPr>
      <t xml:space="preserve">  </t>
    </r>
    <r>
      <rPr>
        <b/>
        <sz val="11"/>
        <color theme="1"/>
        <rFont val="Arial"/>
        <family val="2"/>
      </rPr>
      <t> </t>
    </r>
  </si>
  <si>
    <t>BHU Koklian Peeran</t>
  </si>
  <si>
    <r>
      <t>22.</t>
    </r>
    <r>
      <rPr>
        <sz val="7"/>
        <color theme="1"/>
        <rFont val="Times New Roman"/>
        <family val="1"/>
      </rPr>
      <t xml:space="preserve">  </t>
    </r>
    <r>
      <rPr>
        <b/>
        <sz val="11"/>
        <color theme="1"/>
        <rFont val="Arial"/>
        <family val="2"/>
      </rPr>
      <t> </t>
    </r>
  </si>
  <si>
    <t>BHU Kotohara</t>
  </si>
  <si>
    <r>
      <t>23.</t>
    </r>
    <r>
      <rPr>
        <sz val="7"/>
        <color theme="1"/>
        <rFont val="Times New Roman"/>
        <family val="1"/>
      </rPr>
      <t xml:space="preserve">  </t>
    </r>
    <r>
      <rPr>
        <b/>
        <sz val="11"/>
        <color theme="1"/>
        <rFont val="Arial"/>
        <family val="2"/>
      </rPr>
      <t> </t>
    </r>
  </si>
  <si>
    <t>BHU Kundi</t>
  </si>
  <si>
    <r>
      <t>24.</t>
    </r>
    <r>
      <rPr>
        <sz val="7"/>
        <color theme="1"/>
        <rFont val="Times New Roman"/>
        <family val="1"/>
      </rPr>
      <t xml:space="preserve">  </t>
    </r>
    <r>
      <rPr>
        <b/>
        <sz val="11"/>
        <color theme="1"/>
        <rFont val="Arial"/>
        <family val="2"/>
      </rPr>
      <t> </t>
    </r>
  </si>
  <si>
    <t>BHU Luder Mong</t>
  </si>
  <si>
    <r>
      <t>25.</t>
    </r>
    <r>
      <rPr>
        <sz val="7"/>
        <color theme="1"/>
        <rFont val="Times New Roman"/>
        <family val="1"/>
      </rPr>
      <t xml:space="preserve">  </t>
    </r>
    <r>
      <rPr>
        <b/>
        <sz val="11"/>
        <color theme="1"/>
        <rFont val="Arial"/>
        <family val="2"/>
      </rPr>
      <t> </t>
    </r>
  </si>
  <si>
    <t>BHU Chantry</t>
  </si>
  <si>
    <r>
      <t>26.</t>
    </r>
    <r>
      <rPr>
        <sz val="7"/>
        <color theme="1"/>
        <rFont val="Times New Roman"/>
        <family val="1"/>
      </rPr>
      <t xml:space="preserve">  </t>
    </r>
    <r>
      <rPr>
        <b/>
        <sz val="11"/>
        <color theme="1"/>
        <rFont val="Arial"/>
        <family val="2"/>
      </rPr>
      <t> </t>
    </r>
  </si>
  <si>
    <t>BHU Manakrai</t>
  </si>
  <si>
    <r>
      <t>27.</t>
    </r>
    <r>
      <rPr>
        <sz val="7"/>
        <color theme="1"/>
        <rFont val="Times New Roman"/>
        <family val="1"/>
      </rPr>
      <t xml:space="preserve">  </t>
    </r>
    <r>
      <rPr>
        <b/>
        <sz val="11"/>
        <color theme="1"/>
        <rFont val="Arial"/>
        <family val="2"/>
      </rPr>
      <t> </t>
    </r>
  </si>
  <si>
    <t>BHU Meelam</t>
  </si>
  <si>
    <r>
      <t>28.</t>
    </r>
    <r>
      <rPr>
        <sz val="7"/>
        <color theme="1"/>
        <rFont val="Times New Roman"/>
        <family val="1"/>
      </rPr>
      <t xml:space="preserve">  </t>
    </r>
    <r>
      <rPr>
        <b/>
        <sz val="11"/>
        <color theme="1"/>
        <rFont val="Arial"/>
        <family val="2"/>
      </rPr>
      <t> </t>
    </r>
  </si>
  <si>
    <t>BHU Mirpur Kahal</t>
  </si>
  <si>
    <r>
      <t>29.</t>
    </r>
    <r>
      <rPr>
        <sz val="7"/>
        <color theme="1"/>
        <rFont val="Times New Roman"/>
        <family val="1"/>
      </rPr>
      <t xml:space="preserve">  </t>
    </r>
    <r>
      <rPr>
        <b/>
        <sz val="11"/>
        <color theme="1"/>
        <rFont val="Arial"/>
        <family val="2"/>
      </rPr>
      <t> </t>
    </r>
  </si>
  <si>
    <t>BHU Mong</t>
  </si>
  <si>
    <r>
      <t>30.</t>
    </r>
    <r>
      <rPr>
        <sz val="7"/>
        <color theme="1"/>
        <rFont val="Times New Roman"/>
        <family val="1"/>
      </rPr>
      <t xml:space="preserve">  </t>
    </r>
    <r>
      <rPr>
        <b/>
        <sz val="11"/>
        <color theme="1"/>
        <rFont val="Arial"/>
        <family val="2"/>
      </rPr>
      <t> </t>
    </r>
  </si>
  <si>
    <t>BHU Najafpur</t>
  </si>
  <si>
    <r>
      <t>31.</t>
    </r>
    <r>
      <rPr>
        <sz val="7"/>
        <color theme="1"/>
        <rFont val="Times New Roman"/>
        <family val="1"/>
      </rPr>
      <t xml:space="preserve">  </t>
    </r>
    <r>
      <rPr>
        <b/>
        <sz val="11"/>
        <color theme="1"/>
        <rFont val="Arial"/>
        <family val="2"/>
      </rPr>
      <t> </t>
    </r>
  </si>
  <si>
    <t>BHU Nullah</t>
  </si>
  <si>
    <r>
      <t>32.</t>
    </r>
    <r>
      <rPr>
        <sz val="7"/>
        <color theme="1"/>
        <rFont val="Times New Roman"/>
        <family val="1"/>
      </rPr>
      <t xml:space="preserve">  </t>
    </r>
    <r>
      <rPr>
        <b/>
        <sz val="11"/>
        <color theme="1"/>
        <rFont val="Arial"/>
        <family val="2"/>
      </rPr>
      <t> </t>
    </r>
  </si>
  <si>
    <t>BHU Muslim Abad</t>
  </si>
  <si>
    <r>
      <t>33.</t>
    </r>
    <r>
      <rPr>
        <sz val="7"/>
        <color theme="1"/>
        <rFont val="Times New Roman"/>
        <family val="1"/>
      </rPr>
      <t xml:space="preserve">  </t>
    </r>
    <r>
      <rPr>
        <b/>
        <sz val="11"/>
        <color theme="1"/>
        <rFont val="Arial"/>
        <family val="2"/>
      </rPr>
      <t> </t>
    </r>
  </si>
  <si>
    <t>BHU Pannian</t>
  </si>
  <si>
    <r>
      <t>34.</t>
    </r>
    <r>
      <rPr>
        <sz val="7"/>
        <color theme="1"/>
        <rFont val="Times New Roman"/>
        <family val="1"/>
      </rPr>
      <t xml:space="preserve">  </t>
    </r>
    <r>
      <rPr>
        <b/>
        <sz val="11"/>
        <color theme="1"/>
        <rFont val="Arial"/>
        <family val="2"/>
      </rPr>
      <t> </t>
    </r>
  </si>
  <si>
    <t>BHU Salam Khund</t>
  </si>
  <si>
    <r>
      <t>35.</t>
    </r>
    <r>
      <rPr>
        <sz val="7"/>
        <color theme="1"/>
        <rFont val="Times New Roman"/>
        <family val="1"/>
      </rPr>
      <t xml:space="preserve">  </t>
    </r>
    <r>
      <rPr>
        <b/>
        <sz val="11"/>
        <color theme="1"/>
        <rFont val="Arial"/>
        <family val="2"/>
      </rPr>
      <t> </t>
    </r>
  </si>
  <si>
    <t>BHU Sarai Saleh</t>
  </si>
  <si>
    <r>
      <t>36.</t>
    </r>
    <r>
      <rPr>
        <sz val="7"/>
        <color theme="1"/>
        <rFont val="Times New Roman"/>
        <family val="1"/>
      </rPr>
      <t xml:space="preserve">  </t>
    </r>
    <r>
      <rPr>
        <b/>
        <sz val="11"/>
        <color theme="1"/>
        <rFont val="Arial"/>
        <family val="2"/>
      </rPr>
      <t> </t>
    </r>
  </si>
  <si>
    <t>BHU Sikandarpur</t>
  </si>
  <si>
    <r>
      <t>37.</t>
    </r>
    <r>
      <rPr>
        <sz val="7"/>
        <color theme="1"/>
        <rFont val="Times New Roman"/>
        <family val="1"/>
      </rPr>
      <t xml:space="preserve">  </t>
    </r>
    <r>
      <rPr>
        <b/>
        <sz val="11"/>
        <color theme="1"/>
        <rFont val="Arial"/>
        <family val="2"/>
      </rPr>
      <t> </t>
    </r>
  </si>
  <si>
    <t>BHU Tofkian</t>
  </si>
  <si>
    <r>
      <t>38.</t>
    </r>
    <r>
      <rPr>
        <sz val="7"/>
        <color theme="1"/>
        <rFont val="Times New Roman"/>
        <family val="1"/>
      </rPr>
      <t xml:space="preserve">  </t>
    </r>
    <r>
      <rPr>
        <b/>
        <sz val="11"/>
        <color theme="1"/>
        <rFont val="Arial"/>
        <family val="2"/>
      </rPr>
      <t> </t>
    </r>
  </si>
  <si>
    <t>BHU Shah Muhammad</t>
  </si>
  <si>
    <r>
      <t>39.</t>
    </r>
    <r>
      <rPr>
        <sz val="7"/>
        <color theme="1"/>
        <rFont val="Times New Roman"/>
        <family val="1"/>
      </rPr>
      <t xml:space="preserve">  </t>
    </r>
    <r>
      <rPr>
        <b/>
        <sz val="11"/>
        <color theme="1"/>
        <rFont val="Arial"/>
        <family val="2"/>
      </rPr>
      <t> </t>
    </r>
  </si>
  <si>
    <t>BHU Buttgali</t>
  </si>
  <si>
    <t>BHU Kaneeri</t>
  </si>
  <si>
    <t>RHC Kot Najeebullah</t>
  </si>
  <si>
    <t>RHC Seri Kot</t>
  </si>
  <si>
    <t>RHC Nara Amazai</t>
  </si>
  <si>
    <t xml:space="preserve">RHC Hali </t>
  </si>
  <si>
    <t>RHC Kalinger</t>
  </si>
  <si>
    <t>Categry -C Hospital Kalabat</t>
  </si>
  <si>
    <t>Type-D Hospital Ghazi</t>
  </si>
  <si>
    <t>Type-D Hospital Kanpur</t>
  </si>
  <si>
    <t>Type-D Hospital Serei Niamat Khan</t>
  </si>
  <si>
    <t> 5</t>
  </si>
  <si>
    <t>Annexure "C" District wise list of Health Facilities</t>
  </si>
  <si>
    <t>Annexure "E" List of Cat D Hospital</t>
  </si>
  <si>
    <t>HR/Salary Component</t>
  </si>
  <si>
    <t>Non Salary Component</t>
  </si>
  <si>
    <t>Trainings and Workshops</t>
  </si>
  <si>
    <t>Telephone Charges</t>
  </si>
  <si>
    <t>Gas Charges</t>
  </si>
  <si>
    <t>Electricity Charges</t>
  </si>
  <si>
    <t>A03202</t>
  </si>
  <si>
    <t>A03301</t>
  </si>
  <si>
    <t>A03303</t>
  </si>
  <si>
    <t>Stationary Charges</t>
  </si>
  <si>
    <t>Printing Charges</t>
  </si>
  <si>
    <t>A03902</t>
  </si>
  <si>
    <t>TA/DA</t>
  </si>
  <si>
    <t>Conveyance</t>
  </si>
  <si>
    <t>A03808</t>
  </si>
  <si>
    <t>Misc Allowances (Retirement benefit and death compensatory, GP Fund and benovellent fund)</t>
  </si>
  <si>
    <t>Medical Charges</t>
  </si>
  <si>
    <t>Provision of Essential Medicines to BHU, RHC, Cat-D &amp; Cat-C of selected distrcits</t>
  </si>
  <si>
    <t>Provision of Family Planning comodities to BHU, RHC, Cat-D &amp; Cat-C of selected distrcits</t>
  </si>
  <si>
    <t>Support to ensure 24/7 BHU, RHC, Cat-D and Cat-C operation</t>
  </si>
  <si>
    <t>Infrastructure and Equipment upgrading of Category C and D hospitals for referral</t>
  </si>
  <si>
    <t>Hospital waste management for BHU, RHC, Cat-D &amp; Cat-C of selected distrcits</t>
  </si>
  <si>
    <t>Warehouses establishement for strengthening the supply chain system strengthening</t>
  </si>
  <si>
    <t>Strengthening of referral system</t>
  </si>
  <si>
    <t>Stregthening of RMNCH Services through purchase of Ambulances</t>
  </si>
  <si>
    <t>Outsourcing of security and janitorial services</t>
  </si>
  <si>
    <t xml:space="preserve">Outsourcing of Government Health facility at Nishtarabad </t>
  </si>
  <si>
    <t>Health promotion activities (Health Promoting school and WASH activities)</t>
  </si>
  <si>
    <t>Training of healthcare providers and capacity building of Health Dept staff</t>
  </si>
  <si>
    <t>KP Health Care Commission support (Registeration and GIS mapping of all private healthcare establishment across KP)</t>
  </si>
  <si>
    <t>TA to support PMU</t>
  </si>
  <si>
    <t>Communication campaign &amp; GRM</t>
  </si>
  <si>
    <t>Reconstrcution and Rehabilitation of Healthcare facilities of Flood affected Distrcits</t>
  </si>
  <si>
    <t>Furniture, Equipement &amp; other supplies for Flood Affected Healthcare Fcailities</t>
  </si>
  <si>
    <t xml:space="preserve">Human Resource for Flood Component </t>
  </si>
  <si>
    <t>MERF along with supervision of PMU</t>
  </si>
  <si>
    <t>PHSA along with supervision of PMU</t>
  </si>
  <si>
    <t>Non Consulting Services Comp-3</t>
  </si>
  <si>
    <t>Purchase of Office Equipments</t>
  </si>
  <si>
    <t>Hiring of Paramedical Staff through Consultancy Firm</t>
  </si>
  <si>
    <t>Hiring the Services of PHSA</t>
  </si>
  <si>
    <t>Hiring of Consultancy Firm/Individuals</t>
  </si>
  <si>
    <t>Chitral Lower</t>
  </si>
  <si>
    <t>Kohistan Lower</t>
  </si>
  <si>
    <t>Kohistan Upper</t>
  </si>
  <si>
    <t>Kurram Upper</t>
  </si>
  <si>
    <t>Shangla</t>
  </si>
  <si>
    <t>Charsadda</t>
  </si>
  <si>
    <t>Abbottabad</t>
  </si>
  <si>
    <t>Chitral Upper</t>
  </si>
  <si>
    <t>D. I. Khan</t>
  </si>
  <si>
    <t>Dir Lower</t>
  </si>
  <si>
    <t>Dir Upper</t>
  </si>
  <si>
    <t>Swat</t>
  </si>
  <si>
    <t>Tank</t>
  </si>
  <si>
    <t>A01274</t>
  </si>
  <si>
    <t>A011</t>
  </si>
  <si>
    <t>A03806</t>
  </si>
  <si>
    <t>Allocation as per PC-I for the current year and procurement will be made as and when required after completion of codal formalities</t>
  </si>
  <si>
    <t>A094-
Other Stores and Stocks</t>
  </si>
  <si>
    <t>Purchase of Vehicle</t>
  </si>
  <si>
    <t>Purchase of Vehicles</t>
  </si>
  <si>
    <t>Purchase of Motorcycles</t>
  </si>
  <si>
    <t>Type of Damage</t>
  </si>
  <si>
    <t>S#</t>
  </si>
  <si>
    <t>Refugee Population</t>
  </si>
  <si>
    <t>Completely Damaged</t>
  </si>
  <si>
    <t>Partially Damaged</t>
  </si>
  <si>
    <t>Grand Total</t>
  </si>
  <si>
    <t>Karak</t>
  </si>
  <si>
    <t>KolaiPalas (Kohistan)</t>
  </si>
  <si>
    <t>LakkiMarwat</t>
  </si>
  <si>
    <t>Summary of Flood affected Districts</t>
  </si>
  <si>
    <t>Damages reported District Wise</t>
  </si>
  <si>
    <t>Nomenclature Infra Damage (Duly verified by Department)</t>
  </si>
  <si>
    <t>CD Harikhatar</t>
  </si>
  <si>
    <t>DHO Abbottabad</t>
  </si>
  <si>
    <t>CD Chehr</t>
  </si>
  <si>
    <t>CD Khanna</t>
  </si>
  <si>
    <t>CD Chandu Maira</t>
  </si>
  <si>
    <t>CD Kothwal</t>
  </si>
  <si>
    <t>CD Kanthiall</t>
  </si>
  <si>
    <t>CD Sialkot</t>
  </si>
  <si>
    <t>BHU Harlan</t>
  </si>
  <si>
    <t>BHU Banda Pir Khan</t>
  </si>
  <si>
    <t>BHU Kalu Maira</t>
  </si>
  <si>
    <t>RHC Karora</t>
  </si>
  <si>
    <t>DHO Shangla</t>
  </si>
  <si>
    <t>BHU Towa</t>
  </si>
  <si>
    <t>CD Mian Kalay</t>
  </si>
  <si>
    <t>CD Ganshall</t>
  </si>
  <si>
    <t>BHU Shahlizara</t>
  </si>
  <si>
    <t>DHO Nowshera</t>
  </si>
  <si>
    <t>BHU Pir Sabaq</t>
  </si>
  <si>
    <t>RHC Pirpai</t>
  </si>
  <si>
    <t>BHU Rasheed</t>
  </si>
  <si>
    <t>DHO D.I Khan</t>
  </si>
  <si>
    <t>BHU Mat</t>
  </si>
  <si>
    <t>BHU Rori</t>
  </si>
  <si>
    <t>Type D Hospital Parova</t>
  </si>
  <si>
    <t>RHC Kirri Shamozai</t>
  </si>
  <si>
    <t>BHU Saggu</t>
  </si>
  <si>
    <t>BHU Jabbar wala</t>
  </si>
  <si>
    <t>BHU Shorkot</t>
  </si>
  <si>
    <t>BHU Budh</t>
  </si>
  <si>
    <t>BHU Fateh</t>
  </si>
  <si>
    <t>BHU Darabankhurd</t>
  </si>
  <si>
    <t>BHU Marha</t>
  </si>
  <si>
    <t>BHU Mangal</t>
  </si>
  <si>
    <t>BHU Mirbazi</t>
  </si>
  <si>
    <t>BHU Takwarah</t>
  </si>
  <si>
    <t>CD Roman Kot</t>
  </si>
  <si>
    <t>CD Girsal</t>
  </si>
  <si>
    <t>CD Diyal</t>
  </si>
  <si>
    <t>CD GaraBakhtiar</t>
  </si>
  <si>
    <t>CD GaraMuhabat</t>
  </si>
  <si>
    <t>CD Hatala</t>
  </si>
  <si>
    <t>SHC KotTagga</t>
  </si>
  <si>
    <t>RHC Khal</t>
  </si>
  <si>
    <t>DHO Dir Lower</t>
  </si>
  <si>
    <t>RhCGulabad</t>
  </si>
  <si>
    <t>Cat D Hospital Talash</t>
  </si>
  <si>
    <t>BHU Pingal</t>
  </si>
  <si>
    <t>BHU Tawda China</t>
  </si>
  <si>
    <t>BHU Luqman Banda</t>
  </si>
  <si>
    <t>BHU Otala</t>
  </si>
  <si>
    <t>Category “C” Hospital Wari</t>
  </si>
  <si>
    <t>DHO Dir Upper</t>
  </si>
  <si>
    <t>Category “D” Hospital Patrak</t>
  </si>
  <si>
    <t>RHC NehagBandi</t>
  </si>
  <si>
    <t>RHC Sheringal</t>
  </si>
  <si>
    <t>BHU Guwaldai</t>
  </si>
  <si>
    <t>BHU Doag Dara</t>
  </si>
  <si>
    <t>BHU Barikot</t>
  </si>
  <si>
    <t>BHU Qulandi</t>
  </si>
  <si>
    <t>BHU Dobando</t>
  </si>
  <si>
    <t>BHU Hayagay</t>
  </si>
  <si>
    <t>BHU Nasir Abad</t>
  </si>
  <si>
    <t>BHU Daskor</t>
  </si>
  <si>
    <t>BHU Darora</t>
  </si>
  <si>
    <t>CD Usheri</t>
  </si>
  <si>
    <t>CD Beyar</t>
  </si>
  <si>
    <t>SHC Daraki</t>
  </si>
  <si>
    <t>DHO Tank</t>
  </si>
  <si>
    <t xml:space="preserve">BHU Mumraiz Pathan </t>
  </si>
  <si>
    <t>BHU Kot Allah Dad</t>
  </si>
  <si>
    <t>BHU Cheena</t>
  </si>
  <si>
    <t>BHU Ranawal</t>
  </si>
  <si>
    <t>BHU GaraBalouch</t>
  </si>
  <si>
    <t>BHU Chadhara</t>
  </si>
  <si>
    <t>BHU KOt Musa</t>
  </si>
  <si>
    <t>BHU Dabara</t>
  </si>
  <si>
    <t>BHU GaraShada</t>
  </si>
  <si>
    <t xml:space="preserve">BHU Sheikh Sultan </t>
  </si>
  <si>
    <t>BHU Kot Hakim</t>
  </si>
  <si>
    <t>BHU CheesanKach</t>
  </si>
  <si>
    <t>BHU Kirri Haider</t>
  </si>
  <si>
    <t>BHU Shah Alam</t>
  </si>
  <si>
    <t>BHU Pai</t>
  </si>
  <si>
    <t>RHC Gomal Bazar</t>
  </si>
  <si>
    <t xml:space="preserve">CD Jaffar Abad </t>
  </si>
  <si>
    <t xml:space="preserve">BHU Shadi Khel </t>
  </si>
  <si>
    <t>BHU andari</t>
  </si>
  <si>
    <t>BHU Warooki</t>
  </si>
  <si>
    <t xml:space="preserve">Type D Hospital Amma Khel </t>
  </si>
  <si>
    <t>RHC Gul Imam</t>
  </si>
  <si>
    <t>BHU Mashkomai</t>
  </si>
  <si>
    <t>DHO Swat</t>
  </si>
  <si>
    <t>BHU Bara Samai</t>
  </si>
  <si>
    <t>BHU Rahatkot</t>
  </si>
  <si>
    <t>RHC Devlai</t>
  </si>
  <si>
    <t>BHU Qamber</t>
  </si>
  <si>
    <t>BHU Islampur</t>
  </si>
  <si>
    <t>BHU Chail</t>
  </si>
  <si>
    <t>BHU Odigram</t>
  </si>
  <si>
    <t>BHU Tamgha</t>
  </si>
  <si>
    <t>BHU Gabral</t>
  </si>
  <si>
    <t>CD Parrow</t>
  </si>
  <si>
    <t>RHC Khazana</t>
  </si>
  <si>
    <t xml:space="preserve">BHU Sher Palam </t>
  </si>
  <si>
    <t>CD Nawa Kalay</t>
  </si>
  <si>
    <t>CD Osho</t>
  </si>
  <si>
    <t>KolaiPalas Kohistan</t>
  </si>
  <si>
    <t>TBC Ghazi Abad</t>
  </si>
  <si>
    <t>DHO KolaiPalas Kohistan</t>
  </si>
  <si>
    <t>BHU Sharied</t>
  </si>
  <si>
    <t>BHU Ber Sheryal</t>
  </si>
  <si>
    <t>BHU Khoth</t>
  </si>
  <si>
    <t>DHO Chitral Upper</t>
  </si>
  <si>
    <t>BHU Sangush</t>
  </si>
  <si>
    <t>BHU Kosht</t>
  </si>
  <si>
    <t>CD Riri</t>
  </si>
  <si>
    <t>CD Lonkow</t>
  </si>
  <si>
    <t>CD Kushum</t>
  </si>
  <si>
    <t>Kurram</t>
  </si>
  <si>
    <t>CD Mulla Bagh</t>
  </si>
  <si>
    <t>DHO Kurram</t>
  </si>
  <si>
    <t>BHU Nagar</t>
  </si>
  <si>
    <t>DHO Chitral Lower</t>
  </si>
  <si>
    <t>BHU Tar (Shishikoh)</t>
  </si>
  <si>
    <t>RHC Kaghuzi</t>
  </si>
  <si>
    <t>BHU Goboor</t>
  </si>
  <si>
    <t>BHU Moroi</t>
  </si>
  <si>
    <t>BHU Bumborate</t>
  </si>
  <si>
    <t>BHU Shoghore</t>
  </si>
  <si>
    <t>CD Pursat( Shishikoh)</t>
  </si>
  <si>
    <t>BHU Kesu</t>
  </si>
  <si>
    <t>Type C Hospital City Karak</t>
  </si>
  <si>
    <t>DHO Karak</t>
  </si>
  <si>
    <t>DHO office Karak</t>
  </si>
  <si>
    <t xml:space="preserve">CD Kurd Sharif </t>
  </si>
  <si>
    <t xml:space="preserve">BHU Mona Khel </t>
  </si>
  <si>
    <t>BHU Makoori</t>
  </si>
  <si>
    <t>BHU Khurram</t>
  </si>
  <si>
    <t xml:space="preserve">BHU Ghundi Mir Khan Khel </t>
  </si>
  <si>
    <t>RHC ShanawaGudikhel</t>
  </si>
  <si>
    <t>BHU DabliLawagher</t>
  </si>
  <si>
    <t>BHU Shamshaki</t>
  </si>
  <si>
    <t>BHU EsakChountra</t>
  </si>
  <si>
    <t xml:space="preserve">BHU Kando Khel </t>
  </si>
  <si>
    <t>CH Terri</t>
  </si>
  <si>
    <t>CD Agra</t>
  </si>
  <si>
    <t>DHO Charsadda</t>
  </si>
  <si>
    <t>BHU Gul Abad</t>
  </si>
  <si>
    <t>BHU Kot</t>
  </si>
  <si>
    <t>CD Kharakai</t>
  </si>
  <si>
    <t>Cat D Hospital Titter Khel</t>
  </si>
  <si>
    <t>DHO LakkiMarwat</t>
  </si>
  <si>
    <t>BHU Hati Khan Langer Khel</t>
  </si>
  <si>
    <t>BHU Abdul Khel</t>
  </si>
  <si>
    <t>BHU Shahbaz Khel</t>
  </si>
  <si>
    <t>BHU Gabar Bagh</t>
  </si>
  <si>
    <t>CD Kheru Khel</t>
  </si>
  <si>
    <t>CD Dalo Khel</t>
  </si>
  <si>
    <t>CD Rabnawazwargari</t>
  </si>
  <si>
    <t>CHC Nadar Khan Farid khel</t>
  </si>
  <si>
    <t>BHU MoniKhailbela</t>
  </si>
  <si>
    <t>DHO Kohistan Lower</t>
  </si>
  <si>
    <t>BHU Mujgali</t>
  </si>
  <si>
    <t>BHU Banil Qala</t>
  </si>
  <si>
    <t>CD Semo Dara</t>
  </si>
  <si>
    <t>RHC Ranolia</t>
  </si>
  <si>
    <t>BHU DubairBala</t>
  </si>
  <si>
    <t>BHU Jag</t>
  </si>
  <si>
    <t>Kohistan upper</t>
  </si>
  <si>
    <t> 1</t>
  </si>
  <si>
    <t>BHU Jashoi</t>
  </si>
  <si>
    <t>DHO Kohistan Upper</t>
  </si>
  <si>
    <t> 2</t>
  </si>
  <si>
    <t>BHU Thoti</t>
  </si>
  <si>
    <t> 3</t>
  </si>
  <si>
    <t>CD Bari SiglooRichaw</t>
  </si>
  <si>
    <t> 4</t>
  </si>
  <si>
    <t>BHU Razika</t>
  </si>
  <si>
    <t>Departmental Flood Response Plan</t>
  </si>
  <si>
    <t>Damages Report Assessment by Health Department</t>
  </si>
  <si>
    <t>E</t>
  </si>
  <si>
    <t>Annexure "E" District wise list of Health Facilities</t>
  </si>
  <si>
    <t>Total verified damage reported by</t>
  </si>
  <si>
    <t>Enviromental Specialist</t>
  </si>
  <si>
    <t>Social Safeguard Specialist</t>
  </si>
  <si>
    <t>Gender Specialist</t>
  </si>
  <si>
    <t>Infrastrcuture Specialist</t>
  </si>
  <si>
    <t>Communication Specialist</t>
  </si>
  <si>
    <t>Resident Engineer</t>
  </si>
  <si>
    <t>Assistant Resident Engineer</t>
  </si>
  <si>
    <t>Refferal Guideline Specialist</t>
  </si>
  <si>
    <t>Acountant</t>
  </si>
  <si>
    <t>Procurement TA  (Procurement/Pharmacist/ Biomedical Engineer/Logistic etc.)</t>
  </si>
  <si>
    <t>Any other TA as required for the support of PMU with approval of World Bank and Project Steering Committee. The amount to be paid to TA shall not be fixed as mentioned above and it will decided on case to case basis.</t>
  </si>
  <si>
    <t>Transportation of Medicines and other stock to Warehouse and further distribution to Health facilities located in District Peshawar, Nowshera, Swabi and Haripur.</t>
  </si>
  <si>
    <t>Transportation of Vehicle/Goods</t>
  </si>
  <si>
    <t>Purchase of Plant and Machinery/Equipments</t>
  </si>
  <si>
    <t>Deposit of necessary deductions of the deputationist in Government Treasury</t>
  </si>
  <si>
    <t>Annexure "D" Technical Assistance to support KP-HCIP Health PMU (PKR 285 = 1 USD)</t>
  </si>
  <si>
    <t>Amount USD       (PKR 285 = 1 USD)</t>
  </si>
  <si>
    <t>Amount (PKR)</t>
  </si>
  <si>
    <t>Amount (USD)       (PKR 285 = 1 USD)</t>
  </si>
  <si>
    <t>Total Amount (PKR)</t>
  </si>
  <si>
    <t xml:space="preserve">Total Amount USD             (PKR 285 = 1 USD) </t>
  </si>
  <si>
    <t>Total in PKR</t>
  </si>
  <si>
    <t>Total in USD</t>
  </si>
  <si>
    <t>In PC-1 in year three total USD 0.105 M allocated, however, the amount have been increased upto 0.347 M to catter the need of healthcare facilities amd RFW.</t>
  </si>
  <si>
    <t>In PC-1 in year three total USD 4.8 M allocated, however, the amount have been decreased to 1.4 M to catter the need of healthcare facilities amd RFW.</t>
  </si>
  <si>
    <t>Hiring of Design and supervision Firm/Construction Firm/Supplier for Equipment</t>
  </si>
  <si>
    <t>Procurement of Medicines from Firm/Supplier</t>
  </si>
  <si>
    <t>Procurement of Family Planning Commodities from Firm/Supplier</t>
  </si>
  <si>
    <t>Civil work and Goods (Tangible and Intangible)</t>
  </si>
  <si>
    <t>A037-
Consultancy &amp; Contractual work /A094-
Other Stores and Stocks</t>
  </si>
  <si>
    <t>Consulting Services/Contractual Staff Hiring</t>
  </si>
  <si>
    <t>Consulting Services and Goods (Tangible and Intangible)</t>
  </si>
  <si>
    <t>Hiring of Consultancy Firm/Procurement from Firm or supplier</t>
  </si>
  <si>
    <t>Procurement of Vehicle and/or Hiring of Consultancy Firm</t>
  </si>
  <si>
    <t>Hiring of Non Consultancy Firm</t>
  </si>
  <si>
    <t>Non Consulting Services and Goods (Tangible and Intangible)</t>
  </si>
  <si>
    <t>Hiring of Non Consultancy Firm and/or Procurent from Firm/Supplier</t>
  </si>
  <si>
    <t>Hiring of Design and Supervision Firm/Construction Firm/Supplier</t>
  </si>
  <si>
    <t xml:space="preserve">16 additional Flood affected Districts </t>
  </si>
  <si>
    <t>Procurement of Medicines, Equipments, Consumable and other supplies</t>
  </si>
  <si>
    <t>Hiring of Consultancy Individuals</t>
  </si>
  <si>
    <t>ANNUAL WORK PLAN FY 2024-25</t>
  </si>
  <si>
    <t>Budget Detail FY 2024-25</t>
  </si>
  <si>
    <t>PMU official telephone charges for the Period of July-2024 to June-2025</t>
  </si>
  <si>
    <t>PMU office gas charges for the Period of July-2024 to June-2025</t>
  </si>
  <si>
    <t>PMU office electricity charges for the Period of July-2024 to June-2025</t>
  </si>
  <si>
    <t>PMU office stationary charges for the Period of July-2024 to June-2025</t>
  </si>
  <si>
    <t>PMU Printing and Stationary charges for the period of July-2024 to June-2025</t>
  </si>
  <si>
    <t>Hoteling stay, per diem, travelling and daily allowance payment to PMU/visiting staff for official visits for the period of July-2024 to June-2025</t>
  </si>
  <si>
    <t>Monthly service/maintenance charges for 04 No. vehicles of PMU for the period July-2024 to June-2025</t>
  </si>
  <si>
    <t>Monthly PMU office contingencies charges like tissue papers, senitoizer etc or other office maint. Charges for the peroid  of July-2024 to June-2025</t>
  </si>
  <si>
    <t>Monthly PMU office Newspaper and journals etc charges for the period of July-2024 to June-2025</t>
  </si>
  <si>
    <t>This includes PMU office monthly service or maintenance charges for equipments like Printers, Photocopiers, Air conditioners etc for the period of July-2024 to June-2025</t>
  </si>
  <si>
    <t>Project Director,
Deputy Project Director,
Procurement Specialist, Financial Management Speciaist,
M&amp; E Specialist,
MIS officer,
02 Assistants,
Accountant and
Auxiliary Staff</t>
  </si>
  <si>
    <t>PMU 07 No. Vehicle POL charges for local and Field monitoring visits of 04 Districts for the period July-2024 to June-2025</t>
  </si>
  <si>
    <t>Reimbursement of Medical treatment to KP-HCIP Staff after completion of codal formalities.</t>
  </si>
  <si>
    <t>Advertisement of rutine activities through information department and conducting of mass awareness campaign through print and electronic media charges for the period of July-2024 to June-2025. Hence due to insufficient budget the amount of Rs. 2,000,000/- may be reappropriated from (-) Advertisement and Promotional Activities to (+) POL Charges</t>
  </si>
  <si>
    <t>Monthly PMU office rent @ Rs. 450,000/- per month, including minor repair work of the rented building for the period of July-2024 to June-2025. Hence due to insufficient budget the amount of Rs. 5,000,000/- may be reappropriated from (-) Rent and Maintenance of Office to (+) POL Charges</t>
  </si>
  <si>
    <t>PMU staff Local official visit to line departments for July-2024 to June-2025</t>
  </si>
  <si>
    <t>Meeting of Mission/officials for progress and review of the project for the period of July-2024 to June-2025. Hence due to insufficient budget the amount of Rs. 600,000/- may be reappropriated from (-) Conference/Seminars/Workshops/Symposia to (+) Purchase of Vehicle</t>
  </si>
  <si>
    <t>PC-I Approved Cost for FY 2024-25</t>
  </si>
  <si>
    <t>Difference is Charged to PMU Salary Cost</t>
  </si>
  <si>
    <t>Total Cost for PSC Approval</t>
  </si>
  <si>
    <t>Difference is Charged from TA Salary Cost</t>
  </si>
  <si>
    <t xml:space="preserve">Infrastructure and Equipment Upgradation of 24/7 BHUs and RHC
(Civil works, Solar power system, Furniture and Equipment) </t>
  </si>
  <si>
    <t>In PC-1 the total USD 3.75 M allocated, however, the amount have been increased upto 1.25 M to catter the need of healthcare facilities amd RFW.</t>
  </si>
  <si>
    <t>In PC-1 the total USD 4.375 M allocated, however, the amount have been increased upto 0.625 M to catter the need of healthcare facilities amd RFW.</t>
  </si>
  <si>
    <t>In PC-1 in year three total USD 1.5 M allocated, however, the amount have been increased upto 0.375 M and the rest is carry forward to next FY.
Only Lab will be outsourced and Pharmacy will not be outsourced due to limited time left in PC-1.</t>
  </si>
  <si>
    <t>IN PC-1; 3 M USD allocated, however, 1 M USD already expended so additional is reapropriated from other heads.</t>
  </si>
  <si>
    <t>In PC 0.7 M USD allocated, however, to achieve RF the amount required is 1.22 M USD. The additional amount is reapriated from other heads.</t>
  </si>
  <si>
    <t xml:space="preserve">Head Wise </t>
  </si>
  <si>
    <t>Accelerated Implementation and Disbursement Plan of KP-HCIP Health Till Life of Project (June 25)</t>
  </si>
  <si>
    <t>Proposed cancellation amount</t>
  </si>
  <si>
    <t>Accelerated Disbursement Plan</t>
  </si>
  <si>
    <t xml:space="preserve">
Procurement Timelines
</t>
  </si>
  <si>
    <t>Approved Cost in Old PC-1</t>
  </si>
  <si>
    <t>Revised PC-1 Cost</t>
  </si>
  <si>
    <t>Allocation in PC-1 in USD in Million</t>
  </si>
  <si>
    <t>Year-wise Financial Phasing (1US$=285 PKR)</t>
  </si>
  <si>
    <t>Phasing (1US$=156 PKR)</t>
  </si>
  <si>
    <t xml:space="preserve">Approved </t>
  </si>
  <si>
    <t>Expenditure before June 23</t>
  </si>
  <si>
    <t>Budget approved by PSC &amp; WB for FY 2023-24 (PKR)</t>
  </si>
  <si>
    <t>Total Expenditure expected till June 24</t>
  </si>
  <si>
    <t>Total Expenditure expected till Dec-24</t>
  </si>
  <si>
    <t>Total Expenditure expected till June-25</t>
  </si>
  <si>
    <t>Total Expenditure planned till June-25</t>
  </si>
  <si>
    <t>Grand TOTAL allocated in PC-1</t>
  </si>
  <si>
    <t>Excess/(Surrender) will be approved by Project Steering Committee</t>
  </si>
  <si>
    <r>
      <t xml:space="preserve">Note:
</t>
    </r>
    <r>
      <rPr>
        <sz val="16"/>
        <color theme="1"/>
        <rFont val="Calibri"/>
        <family val="2"/>
        <scheme val="minor"/>
      </rPr>
      <t>1. After Dec-2024 no new activity will be added on STEP and all ongoing activities till award of contract is planned to be finalized before November 24.
2. All Activities (Procurement Plan for 2024) already added on STEP for NOL except Infrastructure/Civil Works (the timelines of which are mentioned in the plan below).</t>
    </r>
  </si>
  <si>
    <t>Status of activity</t>
  </si>
  <si>
    <t>Start Date</t>
  </si>
  <si>
    <t>Advertisement date</t>
  </si>
  <si>
    <t>Bid submission date</t>
  </si>
  <si>
    <t>Technical Evaluation report Finalization</t>
  </si>
  <si>
    <t>Notification for award of contract</t>
  </si>
  <si>
    <t>Purchase order/Task Order/Supply Order/Work Order</t>
  </si>
  <si>
    <t>Supply duration/ Completion date of works</t>
  </si>
  <si>
    <t>BHUs and RHCs survey</t>
  </si>
  <si>
    <t>All Expenditure made</t>
  </si>
  <si>
    <t>Completed</t>
  </si>
  <si>
    <t>Provision of Essential Medicines to BHU, RHC, Cat-D &amp; Cat-C of selected districts</t>
  </si>
  <si>
    <t>All expenditure will be made by Dec 2024, even reapropriation of 500M PKR is planned to be utilzed additionaly to cater need of non availibility of medicines to achieve RF target of PC-1.</t>
  </si>
  <si>
    <t>Priori Review, Direct Selction Method</t>
  </si>
  <si>
    <t>This is direct selection from already approved Framework contract of health department. Activity added on STEP</t>
  </si>
  <si>
    <t>15th May 24</t>
  </si>
  <si>
    <t>30 days delivery time of supply</t>
  </si>
  <si>
    <t>All expenditure will be made before Dec-24</t>
  </si>
  <si>
    <t>Provision of Family Planning commodities to BHU, RHC, Cat-D &amp; Cat-C of selected districts</t>
  </si>
  <si>
    <t>All expenditure will be made by Dec 2024, even reapropriation of 271.5M PKR is planned to be utilzed additionaly to cater need of non availibility of FP Comodities to achieve RF target</t>
  </si>
  <si>
    <t>Post Review
Open: National</t>
  </si>
  <si>
    <t>8th May 24</t>
  </si>
  <si>
    <t>10th May 24</t>
  </si>
  <si>
    <t>28th May 24</t>
  </si>
  <si>
    <t>Till 6th June 24</t>
  </si>
  <si>
    <t>15th June 24</t>
  </si>
  <si>
    <t>30th June 24</t>
  </si>
  <si>
    <t>Supply will be made till 30th July 24</t>
  </si>
  <si>
    <t>900 M PKR will be required for the rest of the project. 240 M PKR (1140-900) will be reapropriated to othere heads. Support staff detail is mentioned in attached sheets (relevant head name).</t>
  </si>
  <si>
    <t>1st April 2024</t>
  </si>
  <si>
    <t>30th May</t>
  </si>
  <si>
    <t>10th June</t>
  </si>
  <si>
    <t>20th June 24</t>
  </si>
  <si>
    <t>10th July 24</t>
  </si>
  <si>
    <t>Staff will be provided by firm when and where required</t>
  </si>
  <si>
    <t>Another way of doing this is advertise the postions instead of hirring through firm by 10th May till 30th May. Longlist the list till 15th June 24 and prepare pool of candidate. Afterwards engage staff from that list when and where required.</t>
  </si>
  <si>
    <t>All expenditure will be made by Dec 2024 for implementation of DHIS-2 as per annex.</t>
  </si>
  <si>
    <t>15th March 24</t>
  </si>
  <si>
    <t>08th May 24</t>
  </si>
  <si>
    <t>3rd June 24</t>
  </si>
  <si>
    <t>19th June 24</t>
  </si>
  <si>
    <t>20th Jully</t>
  </si>
  <si>
    <t>Suppllies to be made within 60 days of Purchase order</t>
  </si>
  <si>
    <t>Framework Contract will be signed till life of the project.</t>
  </si>
  <si>
    <t>Hospital waste management for BHU, RHC, Cat-D &amp; Cat-C of selected districts</t>
  </si>
  <si>
    <t>All expenditure will be made by Dec 2024. An amount of 181 M PKR will be reapropriated from other heads.</t>
  </si>
  <si>
    <t>Prior Review
Open: National</t>
  </si>
  <si>
    <t>1st March 2024</t>
  </si>
  <si>
    <t>12th May 24</t>
  </si>
  <si>
    <t>6th June 24</t>
  </si>
  <si>
    <t>30th July 24</t>
  </si>
  <si>
    <t xml:space="preserve">90-120 days </t>
  </si>
  <si>
    <t>Payment will be made 25% in advance against guarentee with Supply order. 75% will be paid upon installation November 24.</t>
  </si>
  <si>
    <t xml:space="preserve">Strengthening of referral system </t>
  </si>
  <si>
    <t>142.5 M PKR will be utilized till June-25</t>
  </si>
  <si>
    <t>10th Jan 24</t>
  </si>
  <si>
    <t>4th June 24</t>
  </si>
  <si>
    <t>5th June 24</t>
  </si>
  <si>
    <t>25th June 24</t>
  </si>
  <si>
    <t>Supply will be made in 60 days</t>
  </si>
  <si>
    <t>There are three component in this activity 1) TA: which is already awarded, 2) Refferal slips through RFQ which will be complted by June 24 and 3) RFB method, the contract will be awarded by 20th June 24.</t>
  </si>
  <si>
    <t xml:space="preserve">Strengthening of RMNCH Services through purchase of Ambulances </t>
  </si>
  <si>
    <t>1659 Total Expenditure is planned as per details mentioned in sheet attached. 413 M PKR additionaly will be reapropriated (1660-1246). All expenditure will be made till June 25.</t>
  </si>
  <si>
    <t>Priori Review, National: Limited Competition</t>
  </si>
  <si>
    <t xml:space="preserve">This is direct selection from already approved Framework contract of health department. Activity added on STEP. under RFQ pre-reciept invoices and qoutation sought, after ToRS were approved by Bank Team. However, Purcahase order even if the process is readvertised, can be issued till 30th May 24. </t>
  </si>
  <si>
    <t>4 Month for vehicle Supply and 3 Months for febrication.</t>
  </si>
  <si>
    <t xml:space="preserve">There are three type of activities;
1. 1000 M to 1200 M PKR in Advance payment will be made for vehicle by 15th June 24.
2. Febrication Payment will be made once febrication made and inspection done.
3. Call center equipement payment will be made once call center is established i.e. not later than Aug 24. </t>
  </si>
  <si>
    <t>1100 M PKR expenditure will be made by June 25. 04 state of the art labs will be established in 04 project distrcits (one each distrcit). Per district per lab cost of lab is estimated to be 300 M and operational cost is 100 M PKR. Addition 245 M PKR will be reapropriated (1100-855) from other heads.</t>
  </si>
  <si>
    <t>Prior Review
Open: National
QCBS</t>
  </si>
  <si>
    <t>15th April 2024</t>
  </si>
  <si>
    <t>15th April 24</t>
  </si>
  <si>
    <t>10th May 24 EOI to be recived</t>
  </si>
  <si>
    <t>25th May 2024, RFP to be issued
21st June 24 RFPs to be recived and evaluated by 5th July 24</t>
  </si>
  <si>
    <t>15th July 24</t>
  </si>
  <si>
    <t>10th Aug 24</t>
  </si>
  <si>
    <t>90 days will be given to firm for establishment of  Laboratory services</t>
  </si>
  <si>
    <t>04 labs will be established, 01 per distrcits and the rest of the facilities will be linked with it for sample processing etc. All Payments will be made by 30th dec 24.</t>
  </si>
  <si>
    <t>1427.5 M expenditure is planned till June 25. Addition 572.5 M PKR will be reapropriated (1427.5-855) from other heads.</t>
  </si>
  <si>
    <t>Contract Awarded</t>
  </si>
  <si>
    <t>Contract Awarded Ongoing activity</t>
  </si>
  <si>
    <t>Outsourcing of Government Health facility at Nishtar Abad</t>
  </si>
  <si>
    <t>928.12 M PKR will be utilized till project life (40 M per Month for 18 Months).</t>
  </si>
  <si>
    <t>Prior Review
Open: International
QCBS</t>
  </si>
  <si>
    <t>Contract is expected to be awarded by 20th May 24 and activity ongoing.</t>
  </si>
  <si>
    <t>All expenditure will be made tll June 24 and additional 502 M PKR will be required and to be reaprorpiated/reallocated.</t>
  </si>
  <si>
    <t xml:space="preserve">100 HPS establishment </t>
  </si>
  <si>
    <t>Contract Awarded and work will be completed by June 24</t>
  </si>
  <si>
    <t>Post Review
Open: National
RFB for establishment of HPS</t>
  </si>
  <si>
    <t>5th July 24</t>
  </si>
  <si>
    <t>20th Jully 24</t>
  </si>
  <si>
    <t>Work will be completed by June 25</t>
  </si>
  <si>
    <t>50 HPS will be established per month i.e. 12-15 per distrcits to complete total of 700 schoold by June 25.</t>
  </si>
  <si>
    <t>Post Review
Limited: National
RFQ for Hygiene Kit</t>
  </si>
  <si>
    <t>25th May 24</t>
  </si>
  <si>
    <t>30th May 24</t>
  </si>
  <si>
    <t>Supplies will be made before 30th June 24</t>
  </si>
  <si>
    <t>The amount of Hygiene Kits is less than 100,000 USD</t>
  </si>
  <si>
    <t>Post Review
Limited: National
RFQ for IEC Material</t>
  </si>
  <si>
    <t>The amount for printing IEC material and booklets is less than 100,000 USD</t>
  </si>
  <si>
    <t xml:space="preserve">Infrastructure &amp; Equipment Upgradation of BHUs, 24/7 BHUs and RHC.
(Civil works, Solar power system, Furniture and Equipment) </t>
  </si>
  <si>
    <r>
      <rPr>
        <b/>
        <sz val="11"/>
        <color theme="1"/>
        <rFont val="Calibri"/>
        <family val="2"/>
        <scheme val="minor"/>
      </rPr>
      <t>20 Contracts will be awarded to contractors to complete work in 115 facilities by June 25. The construction work will be started by June 24. The detail is as under;</t>
    </r>
    <r>
      <rPr>
        <sz val="11"/>
        <color theme="1"/>
        <rFont val="Calibri"/>
        <family val="2"/>
        <scheme val="minor"/>
      </rPr>
      <t xml:space="preserve">
One BHU to be converted to CEmONC will estimatedly cost 40 M PKR, tottaling to 2400 M PKR for 60 facilities. For every constrcution site work 15 % mobilization advance against guarentee will be given to contractor to improve utilization and early completion of project.
One BHU Solarization will cost  M PKR, totaling to 1510 m PKR.
ONE RHC to be converted to CEmONC will estimatedly cost 20 M PKR, tottaling to 500 M PKR.
One BHU Solarization will cost 15 M PKR, totaling to 375 m PKR
</t>
    </r>
    <r>
      <rPr>
        <b/>
        <u/>
        <sz val="11"/>
        <color theme="1"/>
        <rFont val="Calibri"/>
        <family val="2"/>
        <scheme val="minor"/>
      </rPr>
      <t xml:space="preserve">Equipement Cost:
</t>
    </r>
    <r>
      <rPr>
        <sz val="11"/>
        <color theme="1"/>
        <rFont val="Calibri"/>
        <family val="2"/>
        <scheme val="minor"/>
      </rPr>
      <t xml:space="preserve">Per Facility cost for BEmONC as per sheet attached is 13 M PKR, totalling to 1495 M PKR. All this expenditure will be made by June 25 as the procuremnet list is availible but the equipement will be ordered once constrcution is near to be completed.
1262 M PKR (6581-5319) will be reapropriated to other heads.
</t>
    </r>
  </si>
  <si>
    <t>Post Review
Limited: National
RFQ for Equipmemt</t>
  </si>
  <si>
    <t>RFQ mode is opted for facilities which have infrastcructure availible and with provision of equipemnet BEmONC services can be started</t>
  </si>
  <si>
    <t>Post Review
Open: National
RFB for Equipement</t>
  </si>
  <si>
    <t>13th May 24</t>
  </si>
  <si>
    <t>5th Aug 24</t>
  </si>
  <si>
    <t>20th Aug 24</t>
  </si>
  <si>
    <t>90 days supply time for Imported Items
45 Days Supply Time for Local Items</t>
  </si>
  <si>
    <t>It will be framework contract, and supply of equipments will be made as and when the BEmONC constrcution is about to be completed till June 25.</t>
  </si>
  <si>
    <t>Post Review
Open: National
RFB for Works (BEmONC Facility construction)</t>
  </si>
  <si>
    <t>15th June</t>
  </si>
  <si>
    <t>16th Aug 24</t>
  </si>
  <si>
    <t>30th Aug 24</t>
  </si>
  <si>
    <t>5th Sep 24</t>
  </si>
  <si>
    <t>9 Months will be given to complete work for each package</t>
  </si>
  <si>
    <t>By 30th May the Deatil design, Drawing and BoQ will be finalized by the firm and till 10th June 24 will approved from bank team
There will be six packages each comprising 10 BEmONC.</t>
  </si>
  <si>
    <t>Post Review
Limited: National
RFQ for Works 
For Packages of Less than 27 M PKR out od 25 RHCs</t>
  </si>
  <si>
    <t>22nd Sep 24</t>
  </si>
  <si>
    <t>30th Sep 24</t>
  </si>
  <si>
    <t>10th October 24</t>
  </si>
  <si>
    <t>15th October 24</t>
  </si>
  <si>
    <t>7-8 months will be given to complete each package</t>
  </si>
  <si>
    <t>This is mostly rehabilitation work, so One Package will be comprised of 4-5 RHCs and 7 Months time will be given to contractor to finish work</t>
  </si>
  <si>
    <t>Supply and Installation will be made before 30th June 24</t>
  </si>
  <si>
    <t>RFQ mode is opted for facilities which are requested by DHOs to be completed at earliest due to electericity breakdown</t>
  </si>
  <si>
    <t>RFB Post review
National: Open
Solarization of All BHUs and RHCs</t>
  </si>
  <si>
    <t>10th May24</t>
  </si>
  <si>
    <t>15th Aug 24</t>
  </si>
  <si>
    <t>6 Months will be given to complete installation of solar systems in all BHUs and RHCs</t>
  </si>
  <si>
    <t>For 60 BEmONC 24/7 BHUs 10 KV solar system is proposed
For 91 Normal BHUs 5 KV System is Proosed
For RHC 24/7, 25-30 KV System is proposed</t>
  </si>
  <si>
    <t>Timelines are as per Gant chart attached at Sheet (Summary of civil works)</t>
  </si>
  <si>
    <t>Infrastructure &amp; Equipment Upgrading of Category C and D hospital for referral</t>
  </si>
  <si>
    <r>
      <rPr>
        <b/>
        <u/>
        <sz val="11"/>
        <color theme="1"/>
        <rFont val="Calibri"/>
        <family val="2"/>
        <scheme val="minor"/>
      </rPr>
      <t>4 Contract will be awarded till June 24</t>
    </r>
    <r>
      <rPr>
        <sz val="11"/>
        <color theme="1"/>
        <rFont val="Calibri"/>
        <family val="2"/>
        <scheme val="minor"/>
      </rPr>
      <t xml:space="preserve"> to start constrcution work in one each districts. For every constrcution site work 15 % mobilization advance against guarentee will be given to contractor to improve utilization and early completion of project. The contractor will be bound to work on multiple location with district to complete the work till June 25. Total 2000 M PKR is for constrcution work to be utilized till June 25.
Equipement Cost:
Per Facility cost for  CEmONC as per sheet attached is 30 M PKR, totalling to 660 M PKR. All this expenditure will be made by June 25 as the procuremnet list is availible but the equipement will be ordered once constrcution is near to be completed.
528.75 M PKR savings (2828-2300) will be reapropriated to other heads</t>
    </r>
  </si>
  <si>
    <t>Post Review
Open: National
RFQ For Equipment</t>
  </si>
  <si>
    <t>Will be done under the framework contract of BHU and RHCs above</t>
  </si>
  <si>
    <t xml:space="preserve">Post Review
Open: National
RFB for Works </t>
  </si>
  <si>
    <t>By 30th May the Deatil design, Drawing and BoQ will be finalized by the firm. 
There will be 04 packages each comprising 01 Cat-D Hospital</t>
  </si>
  <si>
    <t>RFB Post review
National: Open
Solarization of All Cat-C and Cat-D Hospitals</t>
  </si>
  <si>
    <t>Will be done under solarizatoin Framework Contract of BHU and RHCs above</t>
  </si>
  <si>
    <t xml:space="preserve">Warehouse establishment for strengthening the supply chain system strengthening </t>
  </si>
  <si>
    <t>The Contruction work will be awarded by Aug 24 and constrcution work will be started on 04 sites to complete by June 25. All Expenditures will be made by June 25. For every constrcution site work 15 % mobilization advance against guarentee will be given to contractor to improve utilization and early completion of project.</t>
  </si>
  <si>
    <t>Post Review
Open: National
RFB for Works (04 Warehouse construction)</t>
  </si>
  <si>
    <t>10th June 24</t>
  </si>
  <si>
    <t>25th Aug 24</t>
  </si>
  <si>
    <t>Contract will be awarded on Turn Key Soltution basis for warehouse</t>
  </si>
  <si>
    <t>550 Million is planned to be utilized till June 25. 100 M will be utilized on flagship trainings. 
250 M PKR already transferred to PHSA for training after NOL from Bank Team.</t>
  </si>
  <si>
    <t>Post Review
Limited: National
RFQ for Stationary Items</t>
  </si>
  <si>
    <t>12th June 24</t>
  </si>
  <si>
    <t>Supply will be made as per need</t>
  </si>
  <si>
    <t>The amount for stationary is less than 270 M PKR i.e. less than 100 thousand USD.</t>
  </si>
  <si>
    <t>Post Review
Limited: National
RFQ for Civil Work at PHSA</t>
  </si>
  <si>
    <t>60 days will be given to complete the work</t>
  </si>
  <si>
    <t>The BOQ prepared and amount is less than 100 thousand USD.</t>
  </si>
  <si>
    <t>Post Review
Limited: National
RFQ for IT equipements to stregthen PHSA</t>
  </si>
  <si>
    <t>22nd June 24</t>
  </si>
  <si>
    <t>The amount for IT equipemnt is less than 270 M PKR i.e. less than 100 thousand USD.</t>
  </si>
  <si>
    <t>Post Review
Limited: National
RFQ for Training Material i.e. Manuals etc Printing</t>
  </si>
  <si>
    <t>14th May 24</t>
  </si>
  <si>
    <t>The amount for Training Material, Maunals and other printing material is less than 270 M PKR i.e. less than 100 thousand USD.</t>
  </si>
  <si>
    <t xml:space="preserve">300 M PKR will be utilized with following details;
120 M PKR will be utilized for quality liscencing and rest 270 M PKR will be utilized till June 25 for quality improvemnet of Healthcare facilities. </t>
  </si>
  <si>
    <t>Post Review
Open: National
RFB for Quality Enhancemnet Materials and comodities</t>
  </si>
  <si>
    <t>Supply will be made as per need till life of the Project</t>
  </si>
  <si>
    <t>Post Review
Limited: National
RFQ for Qualty of Care tools Printing</t>
  </si>
  <si>
    <t>26th May 24</t>
  </si>
  <si>
    <t>Supply will be made till 30th June 24</t>
  </si>
  <si>
    <t>PMU, Internal Audit, Project M&amp;E, Third Party Monitoring, transportation of goods and warehousing of stock.</t>
  </si>
  <si>
    <t>733 M PKR will be utilized for PMU, Internal Audit, Project M&amp;E, Third Party Monitoring, transportation of goods and warehousing of stock till June 263.6 M PKR savings will be reapropriated to other heads</t>
  </si>
  <si>
    <t>Ongoing activities</t>
  </si>
  <si>
    <t>KP Health Care Commission support (Registration and GIS mapping of all private healthcare establishment across KP)</t>
  </si>
  <si>
    <t>On going contract and all expenditure will be made by June 24.</t>
  </si>
  <si>
    <t>Post Review Activty</t>
  </si>
  <si>
    <t>Support to KP Health Foundation- for Public Private partnership Strengthening</t>
  </si>
  <si>
    <t>On going contract and all expenditure will be made by June 25.</t>
  </si>
  <si>
    <t>Other than procurement</t>
  </si>
  <si>
    <t>On going contracts and all expenditure will be made by June 25.</t>
  </si>
  <si>
    <t>Individual Consultant Hirring
Post review</t>
  </si>
  <si>
    <t>Staff taken on baord and ongoing activties</t>
  </si>
  <si>
    <t>All expenditure will be made by June 25. 100 M will be reapproriated from other heads after due approval of Project Steering Committee</t>
  </si>
  <si>
    <t>Post review
Open: National
Hirring of Communication Firm</t>
  </si>
  <si>
    <t>EOI recived 20th April 24 and Evaluation Completed, RFP will be issued by 10th May</t>
  </si>
  <si>
    <t>29th May 24</t>
  </si>
  <si>
    <t>25th June</t>
  </si>
  <si>
    <t>Communication Firm Will work till June 25</t>
  </si>
  <si>
    <t>Post Review
Limited: National
RFQ for GRM Boxes and IEC Material Printing</t>
  </si>
  <si>
    <t>Contract Awarded and Activity Completed</t>
  </si>
  <si>
    <t>Unallocated</t>
  </si>
  <si>
    <t>285 M PKR will be reapropriated to other heads where required.</t>
  </si>
  <si>
    <t>Furniture, Equipment &amp; Supplies for Flood Affected Healthcare Facilities</t>
  </si>
  <si>
    <t>All expenditure can be made till June 24, however waiting for restrcuturing paper approval from WB side.</t>
  </si>
  <si>
    <t>Procurement of Equipement
Priori Review, Direct Selction Method</t>
  </si>
  <si>
    <t>10th May</t>
  </si>
  <si>
    <t>Post Review RFB
Open: National RFB
Procurement of Equipment &amp; Supplies for Flood Affected Healthcare Facilities</t>
  </si>
  <si>
    <t>It will be framework contract, and supply of equipments/Supplies will be made to the Flood affected facilities till June 25.</t>
  </si>
  <si>
    <t>Post Review
Limited: National
RFQ for Furnitures</t>
  </si>
  <si>
    <t>The demand of Furniture is less than 100,000 USD.</t>
  </si>
  <si>
    <t>Reconstruction and Rehabilitation of Healthcare facilities of Flood affected Districts</t>
  </si>
  <si>
    <t>All expenditure can be made till June 25, however waiting for restrcuturing paper approval from WB side.</t>
  </si>
  <si>
    <t xml:space="preserve">Post review CQS
Open: National
Design and Supervision Firm </t>
  </si>
  <si>
    <t>Contract awarded and firm started working Designs will be provided in Phased manner till 30th Aug 2024. First Phase Detailed Designs will be provided by 10th June. The rest of detailed Timelines are as per Gant chart attached at Sheet (Summary of civil works)</t>
  </si>
  <si>
    <t>Post review
Limited: National
RFQ for Works 
For Packages of Less than 27 M PKR for Flood affected rehabilitation work of healthcare facilities</t>
  </si>
  <si>
    <t>30the Aug 24</t>
  </si>
  <si>
    <t>10th Sep 24</t>
  </si>
  <si>
    <t>15th Sep 24</t>
  </si>
  <si>
    <t>Post review
Open: National
RFB for Works 
reconstruction work of fully damaged healthcare facilities</t>
  </si>
  <si>
    <t>1st Sep 24</t>
  </si>
  <si>
    <t>20th Sep 24</t>
  </si>
  <si>
    <t>15th Oct 24</t>
  </si>
  <si>
    <t>25th Oct 24</t>
  </si>
  <si>
    <t>08 Months will be given to complete work for each package</t>
  </si>
  <si>
    <t>The Detailed designs and BOQ of Final lot is planned to be submitted by 15th Aug 24 and all designs, drawing and BOQ will be apporved from Bank team between 30th June 24 to 20th Aug 24.</t>
  </si>
  <si>
    <t>Amount falling short to complete all activities by end of Project</t>
  </si>
  <si>
    <t>Purchase of Motorcycle 70 CC for Local duties as in FY 2023-24 these were not purchased due to late approval of revised PC-I and restructuring paper by World Bank.
Moroever, a suzuki bolan is added for transport purpose</t>
  </si>
  <si>
    <t>Rental Vehicle for PMU</t>
  </si>
  <si>
    <t>M&amp;E Specialist</t>
  </si>
  <si>
    <t>Health Specialist</t>
  </si>
  <si>
    <t xml:space="preserve">Detail of Activity of Component 1.1 i.e. Infrastructure &amp; Equipment Upgradation of BHUs, 24/7 BHUs and RHC.
(Civil works, Solar power system, Furniture and Equipment) </t>
  </si>
  <si>
    <t>Activity Name</t>
  </si>
  <si>
    <t>Per facility as per proposed design</t>
  </si>
  <si>
    <t>Estimated Amount in M in PKR per facility as per proposed design</t>
  </si>
  <si>
    <t>Amoun in M in USD per facility</t>
  </si>
  <si>
    <t xml:space="preserve">Amount in M in USD in total </t>
  </si>
  <si>
    <t>Construction Cost for 60 BEmONC</t>
  </si>
  <si>
    <t>72 M per Facility @ of 9000 sq-ft estimation for civil work. Approx 8000 sq-ft covered area is proposed as per guidence of Bank infra Team specialist, in light to international standards for BEmONC center</t>
  </si>
  <si>
    <t>The Cost of only BEmONC is added, the design of which will be finalized before 20th may and Costrcution of all these ccenters will be started from 10th Aug 24. There will be 10 Months to complete which is achivebale</t>
  </si>
  <si>
    <t>Solarization Cost</t>
  </si>
  <si>
    <t>BHU = 1.5 M PKR (5KV soalr system)</t>
  </si>
  <si>
    <t>There is no need to wait for contsruction, if Bnak Teams apporve this activty the contract can be awarded till Sep-24 and six (06) months time will be given to firm to complete the solarization. The work will be completed before April 25.</t>
  </si>
  <si>
    <t>RHC = 5 M PKR (30 KV solar System)</t>
  </si>
  <si>
    <t>BEmONC = 5 M PKR (20 soalr KV System)</t>
  </si>
  <si>
    <t>Equipment Cost For 60 BEmONC</t>
  </si>
  <si>
    <t>15 M per Fcaility</t>
  </si>
  <si>
    <t>There is no need to wait for contsruction, if Bnak Teams apporve this activty the contract can be awarded till Sep-24 and three (03) months time will be given to firm to complete. The work will be completed before Feb 25.</t>
  </si>
  <si>
    <t>Equipment Cost For 25 RHCs and some BHUs to be converted to BEmONC</t>
  </si>
  <si>
    <t>10 M Per Facility</t>
  </si>
  <si>
    <t>Grand Total of activity in USD in M</t>
  </si>
  <si>
    <t>The total amount allocated in PC-1 for this activity is 23 M USD</t>
  </si>
  <si>
    <t>In PC-1 in year three total USD 0.6 M allocated, however, the amount have been increased upto 1.4 M to cater the need of healthcare facilities and RFW indicators.</t>
  </si>
  <si>
    <t>The amount allocated in PC-1 was 3 M USD, however, as per mutual discussion with WB for cancellation of amount, 1 M USD was proposed for cancellation due to the reason that till June 25, this amount will not be utilized and WB clearly instrcuted that the Project will end by June 25.</t>
  </si>
  <si>
    <t>The amount allocated in PC-1 was 9.06 M USD, however, as per mutual discussion with WB for cancellation of amount, 5.06 M USD was proposed for cancellation due to the reason that till June 25, this amount will not be utilized and WB clearly instrcuted that the Project will end by June 25. Moreover, the scope of project was also reduced by WB instruction i.e. from 24 Cat-C and D hospital, the infra work is restrcited to only 04 facilities; however, equipments will be provided.</t>
  </si>
  <si>
    <t>The amount allocated in PC-1 was 4.5 M USD, however, as per mutual discussion with WB for cancellation of amount, 2 M USD was proposed for cancellation due to the reason that till June 25, this amount will not be utilized and WB clearly instrcuted that the Project will end by June 25. The process advertised for 03 years, however, now the timeline for contract will be 01 year i.e. till 2025.</t>
  </si>
  <si>
    <t>In PC-1 in year three total USD 1.3 M allocated, however, the amount have been increased upto 3.5  M to cater the need of healthcare facilitie to achieve RF indicators.</t>
  </si>
  <si>
    <t>Support to KP-HF for PPP Stregthening</t>
  </si>
  <si>
    <t>Any Other 
(Health Promoting School TA, QoC TA and etc.)</t>
  </si>
  <si>
    <t>PMU, Internal audit, Project M&amp;E, Third Party Monitoring etc.</t>
  </si>
  <si>
    <t>Consulting Firm/Individuals</t>
  </si>
  <si>
    <t>Hirring of Firm for M&amp;E of Project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</si>
</sst>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_);_(* \(#,##0\);_(* &quot;-&quot;??_);_(@_)"/>
    <numFmt numFmtId="166" formatCode="_-* #,##0_-;\-* #,##0_-;_-* &quot;-&quot;??_-;_-@_-"/>
    <numFmt numFmtId="167" formatCode="_-* #,##0.000_-;\-* #,##0.000_-;_-* &quot;-&quot;??_-;_-@_-"/>
    <numFmt numFmtId="168" formatCode="0.000"/>
  </numFmts>
  <fonts count="46" x14ac:knownFonts="1">
    <font>
      <sz val="11"/>
      <color theme="1"/>
      <name val="Calibri"/>
      <family val="2"/>
      <scheme val="minor"/>
    </font>
    <font>
      <b/>
      <sz val="11"/>
      <color theme="1"/>
      <name val="Calibri"/>
      <family val="2"/>
      <scheme val="minor"/>
    </font>
    <font>
      <b/>
      <sz val="11"/>
      <color rgb="FF000000"/>
      <name val="Arial"/>
      <family val="2"/>
    </font>
    <font>
      <sz val="11"/>
      <color rgb="FF000000"/>
      <name val="Arial"/>
      <family val="2"/>
    </font>
    <font>
      <sz val="11"/>
      <color theme="1"/>
      <name val="Calibri"/>
      <family val="2"/>
      <scheme val="minor"/>
    </font>
    <font>
      <b/>
      <sz val="10"/>
      <color theme="1"/>
      <name val="Arial"/>
      <family val="2"/>
    </font>
    <font>
      <b/>
      <sz val="10"/>
      <color rgb="FF000000"/>
      <name val="Arial"/>
      <family val="2"/>
    </font>
    <font>
      <sz val="10"/>
      <color rgb="FF000000"/>
      <name val="Arial"/>
      <family val="2"/>
    </font>
    <font>
      <b/>
      <sz val="12"/>
      <color rgb="FF000000"/>
      <name val="Arial"/>
      <family val="2"/>
    </font>
    <font>
      <b/>
      <sz val="12"/>
      <color theme="1"/>
      <name val="Arial"/>
      <family val="2"/>
    </font>
    <font>
      <sz val="12"/>
      <color theme="1"/>
      <name val="Times New Roman"/>
      <family val="2"/>
    </font>
    <font>
      <b/>
      <sz val="10"/>
      <color theme="1"/>
      <name val="Times New Roman"/>
      <family val="1"/>
    </font>
    <font>
      <sz val="10"/>
      <color theme="1"/>
      <name val="Arial"/>
      <family val="2"/>
    </font>
    <font>
      <sz val="10"/>
      <color theme="1"/>
      <name val="Times New Roman"/>
      <family val="1"/>
    </font>
    <font>
      <sz val="10"/>
      <name val="Times New Roman"/>
      <family val="1"/>
    </font>
    <font>
      <sz val="11"/>
      <color theme="1"/>
      <name val="Arial"/>
      <family val="2"/>
    </font>
    <font>
      <b/>
      <sz val="14"/>
      <color theme="1"/>
      <name val="Arial"/>
      <family val="2"/>
    </font>
    <font>
      <sz val="12"/>
      <color theme="1"/>
      <name val="Arial"/>
      <family val="2"/>
    </font>
    <font>
      <b/>
      <u/>
      <sz val="10"/>
      <color theme="1"/>
      <name val="Arial"/>
      <family val="2"/>
    </font>
    <font>
      <sz val="12"/>
      <color rgb="FF000000"/>
      <name val="Arial"/>
      <family val="2"/>
    </font>
    <font>
      <b/>
      <u/>
      <sz val="11"/>
      <color theme="1"/>
      <name val="Arial"/>
      <family val="2"/>
    </font>
    <font>
      <sz val="7"/>
      <color theme="1"/>
      <name val="Times New Roman"/>
      <family val="1"/>
    </font>
    <font>
      <b/>
      <sz val="11"/>
      <color theme="1"/>
      <name val="Arial"/>
      <family val="2"/>
    </font>
    <font>
      <b/>
      <sz val="11"/>
      <color theme="1"/>
      <name val="Calibri"/>
      <family val="2"/>
    </font>
    <font>
      <sz val="12"/>
      <color theme="1"/>
      <name val="Times New Roman"/>
      <family val="1"/>
    </font>
    <font>
      <b/>
      <sz val="14"/>
      <color rgb="FF000000"/>
      <name val="Arial"/>
      <family val="2"/>
    </font>
    <font>
      <sz val="14"/>
      <color theme="1"/>
      <name val="Arial"/>
      <family val="2"/>
    </font>
    <font>
      <b/>
      <sz val="14"/>
      <color theme="1"/>
      <name val="Times New Roman"/>
      <family val="1"/>
    </font>
    <font>
      <sz val="14"/>
      <color theme="1"/>
      <name val="Times New Roman"/>
      <family val="1"/>
    </font>
    <font>
      <sz val="14"/>
      <color theme="1"/>
      <name val="Calibri"/>
      <family val="2"/>
      <scheme val="minor"/>
    </font>
    <font>
      <b/>
      <sz val="14"/>
      <color rgb="FF000000"/>
      <name val="Calibri"/>
      <family val="2"/>
      <scheme val="minor"/>
    </font>
    <font>
      <b/>
      <sz val="14"/>
      <color theme="1"/>
      <name val="Calibri"/>
      <family val="2"/>
      <scheme val="minor"/>
    </font>
    <font>
      <b/>
      <sz val="9.5"/>
      <color rgb="FF000000"/>
      <name val="Calibri"/>
      <family val="2"/>
      <scheme val="minor"/>
    </font>
    <font>
      <b/>
      <sz val="24"/>
      <color theme="1"/>
      <name val="Calibri"/>
      <family val="2"/>
      <scheme val="minor"/>
    </font>
    <font>
      <b/>
      <sz val="16"/>
      <color theme="1"/>
      <name val="Calibri"/>
      <family val="2"/>
      <scheme val="minor"/>
    </font>
    <font>
      <sz val="16"/>
      <color theme="1"/>
      <name val="Calibri"/>
      <family val="2"/>
      <scheme val="minor"/>
    </font>
    <font>
      <sz val="9.5"/>
      <color rgb="FF000000"/>
      <name val="Calibri"/>
      <family val="2"/>
      <scheme val="minor"/>
    </font>
    <font>
      <b/>
      <i/>
      <sz val="11"/>
      <color rgb="FF000000"/>
      <name val="Calibri"/>
      <family val="2"/>
      <scheme val="minor"/>
    </font>
    <font>
      <sz val="11"/>
      <color rgb="FF000000"/>
      <name val="Calibri"/>
      <family val="2"/>
      <scheme val="minor"/>
    </font>
    <font>
      <sz val="9.5"/>
      <color rgb="FF000000"/>
      <name val="Arial"/>
      <family val="2"/>
    </font>
    <font>
      <b/>
      <i/>
      <sz val="9.5"/>
      <color rgb="FF000000"/>
      <name val="Calibri"/>
      <family val="2"/>
      <scheme val="minor"/>
    </font>
    <font>
      <b/>
      <u/>
      <sz val="11"/>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sz val="10"/>
      <color rgb="FF000000"/>
      <name val="Times New Roman"/>
      <family val="1"/>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indexed="64"/>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auto="1"/>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auto="1"/>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auto="1"/>
      </right>
      <top style="medium">
        <color indexed="64"/>
      </top>
      <bottom style="medium">
        <color indexed="64"/>
      </bottom>
      <diagonal/>
    </border>
    <border>
      <left/>
      <right style="thin">
        <color indexed="64"/>
      </right>
      <top/>
      <bottom/>
      <diagonal/>
    </border>
    <border>
      <left style="thin">
        <color auto="1"/>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43" fontId="4" fillId="0" borderId="0" applyFont="0" applyFill="0" applyBorder="0" applyAlignment="0" applyProtection="0"/>
    <xf numFmtId="0" fontId="10" fillId="0" borderId="0"/>
  </cellStyleXfs>
  <cellXfs count="658">
    <xf numFmtId="0" fontId="0" fillId="0" borderId="0" xfId="0"/>
    <xf numFmtId="0" fontId="7" fillId="3" borderId="10" xfId="0" applyFont="1" applyFill="1" applyBorder="1" applyAlignment="1">
      <alignment horizontal="center"/>
    </xf>
    <xf numFmtId="0" fontId="7" fillId="3" borderId="1" xfId="0" applyFont="1" applyFill="1" applyBorder="1" applyAlignment="1">
      <alignment wrapText="1"/>
    </xf>
    <xf numFmtId="0" fontId="7" fillId="3" borderId="1" xfId="0" applyFont="1" applyFill="1" applyBorder="1" applyAlignment="1">
      <alignment horizontal="center"/>
    </xf>
    <xf numFmtId="3" fontId="7" fillId="3" borderId="1" xfId="0" applyNumberFormat="1" applyFont="1" applyFill="1" applyBorder="1" applyAlignment="1">
      <alignment horizontal="center"/>
    </xf>
    <xf numFmtId="3" fontId="7" fillId="0" borderId="1" xfId="0" applyNumberFormat="1" applyFont="1" applyBorder="1"/>
    <xf numFmtId="0" fontId="7" fillId="3" borderId="1" xfId="0" applyFont="1" applyFill="1" applyBorder="1"/>
    <xf numFmtId="3" fontId="0" fillId="0" borderId="0" xfId="0" applyNumberFormat="1"/>
    <xf numFmtId="0" fontId="5" fillId="0" borderId="0" xfId="0" applyFont="1" applyAlignment="1">
      <alignment vertical="center" wrapText="1"/>
    </xf>
    <xf numFmtId="0" fontId="12" fillId="0" borderId="0" xfId="0" applyFont="1"/>
    <xf numFmtId="165" fontId="12" fillId="0" borderId="0" xfId="1" applyNumberFormat="1" applyFont="1"/>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4" fillId="2" borderId="1" xfId="1" applyNumberFormat="1" applyFont="1" applyFill="1" applyBorder="1" applyAlignment="1">
      <alignment horizontal="center" vertical="center" wrapText="1"/>
    </xf>
    <xf numFmtId="165" fontId="13" fillId="2" borderId="1" xfId="1" applyNumberFormat="1" applyFont="1" applyFill="1" applyBorder="1" applyAlignment="1">
      <alignment horizontal="center" vertical="center" wrapText="1"/>
    </xf>
    <xf numFmtId="0" fontId="15" fillId="0" borderId="0" xfId="0" applyFont="1"/>
    <xf numFmtId="0" fontId="15" fillId="0" borderId="0" xfId="0" applyFont="1" applyAlignment="1">
      <alignment horizontal="center"/>
    </xf>
    <xf numFmtId="0" fontId="15" fillId="0" borderId="0" xfId="0" applyFont="1" applyAlignment="1">
      <alignment horizontal="center" wrapText="1"/>
    </xf>
    <xf numFmtId="0" fontId="16" fillId="0" borderId="0" xfId="0" applyFont="1" applyAlignment="1">
      <alignment vertical="center"/>
    </xf>
    <xf numFmtId="0" fontId="5" fillId="0" borderId="20" xfId="0"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left"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 xfId="0" applyFont="1" applyBorder="1" applyAlignment="1">
      <alignment horizontal="left" vertical="center"/>
    </xf>
    <xf numFmtId="0" fontId="17" fillId="0" borderId="11"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left" vertical="center"/>
    </xf>
    <xf numFmtId="0" fontId="17" fillId="0" borderId="28" xfId="0"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left"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1"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left" vertical="center" wrapText="1"/>
    </xf>
    <xf numFmtId="0" fontId="17"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left" vertical="center" wrapText="1"/>
    </xf>
    <xf numFmtId="0" fontId="9" fillId="0" borderId="30" xfId="0" applyFont="1" applyBorder="1" applyAlignment="1">
      <alignment horizontal="center" vertical="center" wrapText="1"/>
    </xf>
    <xf numFmtId="0" fontId="19" fillId="0" borderId="1" xfId="0" applyFont="1" applyBorder="1" applyAlignment="1">
      <alignment horizontal="left" vertical="center" wrapText="1"/>
    </xf>
    <xf numFmtId="0" fontId="17" fillId="0" borderId="19" xfId="0" applyFont="1" applyBorder="1" applyAlignment="1">
      <alignment horizontal="center" vertical="center" wrapText="1"/>
    </xf>
    <xf numFmtId="0" fontId="17" fillId="0" borderId="19" xfId="0" applyFont="1" applyBorder="1" applyAlignment="1">
      <alignment horizontal="left" vertical="center" wrapText="1"/>
    </xf>
    <xf numFmtId="0" fontId="15" fillId="0" borderId="6" xfId="0" applyFont="1" applyBorder="1" applyAlignment="1">
      <alignment horizontal="center" vertical="center" wrapText="1"/>
    </xf>
    <xf numFmtId="0" fontId="15" fillId="0" borderId="7" xfId="0" applyFont="1" applyBorder="1" applyAlignment="1">
      <alignment horizontal="left"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left" vertical="center" wrapText="1"/>
    </xf>
    <xf numFmtId="0" fontId="15" fillId="0" borderId="28" xfId="0" applyFont="1" applyBorder="1" applyAlignment="1">
      <alignment horizontal="center" vertical="center" wrapText="1"/>
    </xf>
    <xf numFmtId="0" fontId="12" fillId="0" borderId="7" xfId="0" applyFont="1" applyBorder="1" applyAlignment="1">
      <alignment horizontal="left" vertical="center" wrapText="1"/>
    </xf>
    <xf numFmtId="0" fontId="12" fillId="0" borderId="1" xfId="0" applyFont="1" applyBorder="1" applyAlignment="1">
      <alignment horizontal="left" vertical="center" wrapText="1"/>
    </xf>
    <xf numFmtId="0" fontId="12" fillId="0" borderId="27" xfId="0" applyFont="1" applyBorder="1" applyAlignment="1">
      <alignment horizontal="left" vertical="center" wrapText="1"/>
    </xf>
    <xf numFmtId="0" fontId="8" fillId="0" borderId="0" xfId="0" applyFont="1" applyAlignment="1">
      <alignment horizontal="center" vertical="center"/>
    </xf>
    <xf numFmtId="0" fontId="0" fillId="0" borderId="0" xfId="0" applyAlignment="1">
      <alignment horizontal="left"/>
    </xf>
    <xf numFmtId="0" fontId="0" fillId="0" borderId="0" xfId="0" applyAlignment="1">
      <alignment horizontal="center"/>
    </xf>
    <xf numFmtId="0" fontId="23" fillId="0" borderId="0" xfId="0" applyFont="1" applyAlignment="1">
      <alignment horizontal="center" vertical="center"/>
    </xf>
    <xf numFmtId="0" fontId="17" fillId="0" borderId="0" xfId="0" applyFont="1" applyAlignment="1">
      <alignment horizontal="center" vertical="center" wrapText="1"/>
    </xf>
    <xf numFmtId="0" fontId="9" fillId="0" borderId="0" xfId="0" applyFont="1" applyAlignment="1">
      <alignment horizontal="left" vertical="center" wrapText="1"/>
    </xf>
    <xf numFmtId="0" fontId="13" fillId="2" borderId="10" xfId="0" applyFont="1" applyFill="1" applyBorder="1" applyAlignment="1">
      <alignment horizontal="center" vertical="center" wrapText="1"/>
    </xf>
    <xf numFmtId="3" fontId="15" fillId="0" borderId="0" xfId="0" applyNumberFormat="1" applyFont="1"/>
    <xf numFmtId="0" fontId="15" fillId="0" borderId="10" xfId="0" applyFont="1" applyBorder="1" applyAlignment="1">
      <alignment horizontal="center" vertical="center"/>
    </xf>
    <xf numFmtId="0" fontId="13" fillId="2" borderId="11" xfId="0" applyFont="1" applyFill="1" applyBorder="1"/>
    <xf numFmtId="0" fontId="13" fillId="2" borderId="11" xfId="0" applyFont="1" applyFill="1" applyBorder="1" applyAlignment="1">
      <alignment vertical="center" wrapText="1"/>
    </xf>
    <xf numFmtId="0" fontId="13" fillId="2" borderId="11" xfId="0" applyFont="1" applyFill="1" applyBorder="1" applyAlignment="1">
      <alignment wrapText="1"/>
    </xf>
    <xf numFmtId="0" fontId="13" fillId="2" borderId="1" xfId="0" applyFont="1" applyFill="1" applyBorder="1" applyAlignment="1">
      <alignment vertical="center" wrapText="1"/>
    </xf>
    <xf numFmtId="0" fontId="13" fillId="2" borderId="11" xfId="0" applyFont="1" applyFill="1" applyBorder="1" applyAlignment="1">
      <alignment horizontal="center"/>
    </xf>
    <xf numFmtId="0" fontId="6" fillId="3" borderId="23" xfId="0" applyFont="1" applyFill="1" applyBorder="1" applyAlignment="1">
      <alignment wrapText="1"/>
    </xf>
    <xf numFmtId="0" fontId="6" fillId="3" borderId="24" xfId="0" applyFont="1" applyFill="1" applyBorder="1" applyAlignment="1">
      <alignment wrapText="1"/>
    </xf>
    <xf numFmtId="0" fontId="5" fillId="0" borderId="24" xfId="0" applyFont="1" applyBorder="1" applyAlignment="1">
      <alignment horizontal="center"/>
    </xf>
    <xf numFmtId="0" fontId="5" fillId="0" borderId="24" xfId="0" applyFont="1" applyBorder="1"/>
    <xf numFmtId="3" fontId="6" fillId="3" borderId="24" xfId="0" applyNumberFormat="1" applyFont="1" applyFill="1" applyBorder="1" applyAlignment="1">
      <alignment horizontal="center"/>
    </xf>
    <xf numFmtId="3" fontId="6" fillId="0" borderId="24" xfId="0" applyNumberFormat="1" applyFont="1" applyBorder="1"/>
    <xf numFmtId="0" fontId="7" fillId="3" borderId="6" xfId="0" applyFont="1" applyFill="1" applyBorder="1" applyAlignment="1">
      <alignment horizontal="center" vertical="center"/>
    </xf>
    <xf numFmtId="0" fontId="7" fillId="3" borderId="7" xfId="0" applyFont="1" applyFill="1" applyBorder="1" applyAlignment="1">
      <alignment vertical="center" wrapText="1"/>
    </xf>
    <xf numFmtId="0" fontId="7" fillId="3" borderId="7" xfId="0" applyFont="1" applyFill="1" applyBorder="1" applyAlignment="1">
      <alignment horizontal="center" vertical="center"/>
    </xf>
    <xf numFmtId="3" fontId="7" fillId="3" borderId="7" xfId="0" applyNumberFormat="1" applyFont="1" applyFill="1" applyBorder="1" applyAlignment="1">
      <alignment horizontal="center" vertical="center"/>
    </xf>
    <xf numFmtId="3" fontId="7" fillId="0" borderId="7" xfId="0" applyNumberFormat="1" applyFont="1" applyBorder="1" applyAlignment="1">
      <alignment vertical="center"/>
    </xf>
    <xf numFmtId="3" fontId="7" fillId="0" borderId="8" xfId="0" applyNumberFormat="1" applyFont="1" applyBorder="1" applyAlignment="1">
      <alignment vertical="center"/>
    </xf>
    <xf numFmtId="3" fontId="7" fillId="0" borderId="11" xfId="0" applyNumberFormat="1" applyFont="1" applyBorder="1"/>
    <xf numFmtId="0" fontId="7" fillId="3" borderId="26" xfId="0" applyFont="1" applyFill="1" applyBorder="1" applyAlignment="1">
      <alignment horizontal="center"/>
    </xf>
    <xf numFmtId="0" fontId="7" fillId="3" borderId="27" xfId="0" applyFont="1" applyFill="1" applyBorder="1" applyAlignment="1">
      <alignment wrapText="1"/>
    </xf>
    <xf numFmtId="0" fontId="7" fillId="3" borderId="27" xfId="0" applyFont="1" applyFill="1" applyBorder="1" applyAlignment="1">
      <alignment horizontal="center"/>
    </xf>
    <xf numFmtId="3" fontId="7" fillId="3" borderId="27" xfId="0" applyNumberFormat="1" applyFont="1" applyFill="1" applyBorder="1" applyAlignment="1">
      <alignment horizontal="center"/>
    </xf>
    <xf numFmtId="3" fontId="7" fillId="0" borderId="27" xfId="0" applyNumberFormat="1" applyFont="1" applyBorder="1"/>
    <xf numFmtId="3" fontId="7" fillId="0" borderId="28" xfId="0" applyNumberFormat="1" applyFont="1" applyBorder="1"/>
    <xf numFmtId="0" fontId="13"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left" vertical="center"/>
    </xf>
    <xf numFmtId="0" fontId="5" fillId="0" borderId="18" xfId="0" applyFont="1" applyBorder="1" applyAlignment="1">
      <alignment horizontal="center" vertical="center"/>
    </xf>
    <xf numFmtId="0" fontId="12" fillId="0" borderId="0" xfId="0" applyFont="1" applyAlignment="1">
      <alignment horizontal="center" vertical="center"/>
    </xf>
    <xf numFmtId="0" fontId="12" fillId="2" borderId="0" xfId="0" applyFont="1" applyFill="1"/>
    <xf numFmtId="0" fontId="12" fillId="2" borderId="0" xfId="0" applyFont="1" applyFill="1" applyAlignment="1">
      <alignment horizontal="center" vertical="center"/>
    </xf>
    <xf numFmtId="0" fontId="0" fillId="2" borderId="0" xfId="0" applyFill="1"/>
    <xf numFmtId="0" fontId="8" fillId="0" borderId="0" xfId="0" applyFont="1" applyAlignment="1">
      <alignment vertical="center"/>
    </xf>
    <xf numFmtId="0" fontId="6" fillId="2" borderId="34" xfId="0" applyFont="1" applyFill="1" applyBorder="1" applyAlignment="1">
      <alignment horizontal="left" wrapText="1"/>
    </xf>
    <xf numFmtId="0" fontId="6" fillId="2" borderId="35" xfId="0" applyFont="1" applyFill="1" applyBorder="1" applyAlignment="1">
      <alignment horizontal="left" wrapText="1"/>
    </xf>
    <xf numFmtId="0" fontId="6" fillId="2" borderId="35" xfId="0" applyFont="1" applyFill="1" applyBorder="1" applyAlignment="1">
      <alignment horizontal="center" wrapText="1"/>
    </xf>
    <xf numFmtId="0" fontId="6" fillId="2" borderId="35" xfId="0" applyFont="1" applyFill="1" applyBorder="1" applyAlignment="1">
      <alignment horizontal="center"/>
    </xf>
    <xf numFmtId="0" fontId="7" fillId="2" borderId="7" xfId="0"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1"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 xfId="0" applyFont="1" applyFill="1" applyBorder="1" applyAlignment="1">
      <alignment horizontal="left" vertical="center"/>
    </xf>
    <xf numFmtId="0" fontId="7" fillId="2" borderId="27" xfId="0" applyFont="1" applyFill="1" applyBorder="1" applyAlignment="1">
      <alignment horizontal="center" vertical="center"/>
    </xf>
    <xf numFmtId="0" fontId="7" fillId="2" borderId="27" xfId="0" applyFont="1" applyFill="1" applyBorder="1" applyAlignment="1">
      <alignment horizontal="left" vertical="center" wrapText="1"/>
    </xf>
    <xf numFmtId="0" fontId="7" fillId="2" borderId="28" xfId="0" applyFont="1" applyFill="1" applyBorder="1" applyAlignment="1">
      <alignment horizontal="left" vertical="center"/>
    </xf>
    <xf numFmtId="0" fontId="12" fillId="2" borderId="0" xfId="0" applyFont="1" applyFill="1" applyAlignment="1">
      <alignment horizontal="center"/>
    </xf>
    <xf numFmtId="0" fontId="6" fillId="2" borderId="20" xfId="0" applyFont="1" applyFill="1" applyBorder="1" applyAlignment="1">
      <alignment horizontal="center" vertical="top" wrapText="1"/>
    </xf>
    <xf numFmtId="0" fontId="6" fillId="2" borderId="21" xfId="0" applyFont="1" applyFill="1" applyBorder="1" applyAlignment="1">
      <alignment horizontal="center"/>
    </xf>
    <xf numFmtId="0" fontId="6" fillId="2" borderId="14" xfId="0" applyFont="1" applyFill="1" applyBorder="1" applyAlignment="1">
      <alignment horizontal="center" vertical="top" wrapText="1"/>
    </xf>
    <xf numFmtId="0" fontId="6" fillId="2" borderId="15" xfId="0" applyFont="1" applyFill="1" applyBorder="1" applyAlignment="1">
      <alignment horizontal="left"/>
    </xf>
    <xf numFmtId="0" fontId="6" fillId="2" borderId="15" xfId="0" applyFont="1" applyFill="1" applyBorder="1" applyAlignment="1">
      <alignment horizontal="center"/>
    </xf>
    <xf numFmtId="0" fontId="6" fillId="2" borderId="18" xfId="0" applyFont="1" applyFill="1" applyBorder="1" applyAlignment="1">
      <alignment horizontal="center"/>
    </xf>
    <xf numFmtId="0" fontId="7" fillId="2" borderId="16" xfId="0" applyFont="1" applyFill="1" applyBorder="1" applyAlignment="1">
      <alignment horizontal="center" vertical="top" wrapText="1"/>
    </xf>
    <xf numFmtId="0" fontId="7" fillId="2" borderId="4" xfId="0" applyFont="1" applyFill="1" applyBorder="1" applyAlignment="1">
      <alignment horizontal="left"/>
    </xf>
    <xf numFmtId="0" fontId="7" fillId="2" borderId="4" xfId="0" applyFont="1" applyFill="1" applyBorder="1" applyAlignment="1">
      <alignment horizontal="center"/>
    </xf>
    <xf numFmtId="0" fontId="7" fillId="2" borderId="17" xfId="0" applyFont="1" applyFill="1" applyBorder="1" applyAlignment="1">
      <alignment horizontal="center"/>
    </xf>
    <xf numFmtId="0" fontId="7" fillId="2" borderId="10" xfId="0" applyFont="1" applyFill="1" applyBorder="1" applyAlignment="1">
      <alignment horizontal="center" vertical="top" wrapText="1"/>
    </xf>
    <xf numFmtId="0" fontId="7" fillId="2" borderId="1" xfId="0" applyFont="1" applyFill="1" applyBorder="1" applyAlignment="1">
      <alignment horizontal="left"/>
    </xf>
    <xf numFmtId="0" fontId="7" fillId="2" borderId="1" xfId="0" applyFont="1" applyFill="1" applyBorder="1" applyAlignment="1">
      <alignment horizontal="center"/>
    </xf>
    <xf numFmtId="0" fontId="7" fillId="2" borderId="11" xfId="0" applyFont="1" applyFill="1" applyBorder="1" applyAlignment="1">
      <alignment horizontal="center"/>
    </xf>
    <xf numFmtId="0" fontId="7" fillId="2" borderId="9" xfId="0" applyFont="1" applyFill="1" applyBorder="1" applyAlignment="1">
      <alignment horizontal="center" vertical="top" wrapText="1"/>
    </xf>
    <xf numFmtId="0" fontId="7" fillId="2" borderId="3" xfId="0" applyFont="1" applyFill="1" applyBorder="1" applyAlignment="1">
      <alignment horizontal="left"/>
    </xf>
    <xf numFmtId="0" fontId="7" fillId="2" borderId="3" xfId="0" applyFont="1" applyFill="1" applyBorder="1" applyAlignment="1">
      <alignment horizontal="center"/>
    </xf>
    <xf numFmtId="0" fontId="7" fillId="2" borderId="5" xfId="0" applyFont="1" applyFill="1" applyBorder="1" applyAlignment="1">
      <alignment horizontal="center"/>
    </xf>
    <xf numFmtId="0" fontId="6" fillId="2" borderId="14" xfId="0" applyFont="1" applyFill="1" applyBorder="1" applyAlignment="1">
      <alignment horizontal="left" vertical="top" wrapText="1"/>
    </xf>
    <xf numFmtId="0" fontId="6" fillId="0" borderId="20" xfId="0" applyFont="1" applyBorder="1" applyAlignment="1">
      <alignment horizontal="center" vertical="center"/>
    </xf>
    <xf numFmtId="0" fontId="5" fillId="0" borderId="21" xfId="0" applyFont="1" applyBorder="1" applyAlignment="1">
      <alignment horizontal="center" vertical="center" wrapText="1"/>
    </xf>
    <xf numFmtId="0" fontId="15" fillId="0" borderId="6" xfId="0" applyFont="1" applyBorder="1" applyAlignment="1">
      <alignment horizontal="center"/>
    </xf>
    <xf numFmtId="0" fontId="15" fillId="0" borderId="7" xfId="0" applyFont="1" applyBorder="1" applyAlignment="1">
      <alignment horizontal="center"/>
    </xf>
    <xf numFmtId="166" fontId="15" fillId="0" borderId="7" xfId="1" applyNumberFormat="1" applyFont="1" applyBorder="1" applyAlignment="1">
      <alignment horizontal="center"/>
    </xf>
    <xf numFmtId="166" fontId="15" fillId="0" borderId="8" xfId="1" applyNumberFormat="1" applyFont="1" applyBorder="1" applyAlignment="1">
      <alignment horizontal="center"/>
    </xf>
    <xf numFmtId="0" fontId="15" fillId="0" borderId="10" xfId="0" applyFont="1" applyBorder="1" applyAlignment="1">
      <alignment horizontal="center"/>
    </xf>
    <xf numFmtId="0" fontId="15" fillId="0" borderId="1" xfId="0" applyFont="1" applyBorder="1" applyAlignment="1">
      <alignment horizontal="center"/>
    </xf>
    <xf numFmtId="166" fontId="15" fillId="0" borderId="1" xfId="1" applyNumberFormat="1" applyFont="1" applyBorder="1" applyAlignment="1">
      <alignment horizontal="center"/>
    </xf>
    <xf numFmtId="166" fontId="15" fillId="0" borderId="11" xfId="1" applyNumberFormat="1" applyFont="1" applyBorder="1" applyAlignment="1">
      <alignment horizontal="center"/>
    </xf>
    <xf numFmtId="0" fontId="15" fillId="0" borderId="1" xfId="0" applyFont="1" applyBorder="1" applyAlignment="1">
      <alignment horizontal="center" vertical="center"/>
    </xf>
    <xf numFmtId="166" fontId="15" fillId="0" borderId="1" xfId="1" applyNumberFormat="1" applyFont="1" applyBorder="1" applyAlignment="1">
      <alignment horizontal="center" vertical="center"/>
    </xf>
    <xf numFmtId="0" fontId="15" fillId="0" borderId="26" xfId="0" applyFont="1" applyBorder="1" applyAlignment="1">
      <alignment horizontal="center"/>
    </xf>
    <xf numFmtId="0" fontId="15" fillId="0" borderId="27" xfId="0" applyFont="1" applyBorder="1" applyAlignment="1">
      <alignment horizontal="center"/>
    </xf>
    <xf numFmtId="166" fontId="15" fillId="0" borderId="27" xfId="0" applyNumberFormat="1" applyFont="1" applyBorder="1" applyAlignment="1">
      <alignment horizontal="center"/>
    </xf>
    <xf numFmtId="0" fontId="15" fillId="0" borderId="14" xfId="0" applyFont="1" applyBorder="1" applyAlignment="1">
      <alignment horizontal="center"/>
    </xf>
    <xf numFmtId="0" fontId="15" fillId="0" borderId="15" xfId="0" applyFont="1" applyBorder="1" applyAlignment="1">
      <alignment horizontal="center"/>
    </xf>
    <xf numFmtId="166" fontId="22" fillId="0" borderId="15" xfId="0" applyNumberFormat="1" applyFont="1" applyBorder="1" applyAlignment="1">
      <alignment horizontal="center"/>
    </xf>
    <xf numFmtId="0" fontId="15" fillId="0" borderId="7" xfId="0" applyFont="1" applyBorder="1" applyAlignment="1">
      <alignment horizontal="left"/>
    </xf>
    <xf numFmtId="0" fontId="15" fillId="0" borderId="1" xfId="0" applyFont="1" applyBorder="1" applyAlignment="1">
      <alignment horizontal="left"/>
    </xf>
    <xf numFmtId="0" fontId="22" fillId="0" borderId="15" xfId="0" applyFont="1" applyBorder="1" applyAlignment="1">
      <alignment horizontal="left"/>
    </xf>
    <xf numFmtId="0" fontId="5" fillId="0" borderId="21" xfId="0" applyFont="1" applyBorder="1" applyAlignment="1">
      <alignment vertical="center" wrapText="1"/>
    </xf>
    <xf numFmtId="0" fontId="16" fillId="0" borderId="0" xfId="0" applyFont="1" applyAlignment="1">
      <alignment horizontal="center" vertical="center" wrapText="1"/>
    </xf>
    <xf numFmtId="0" fontId="13" fillId="2" borderId="3" xfId="0" applyFont="1" applyFill="1" applyBorder="1" applyAlignment="1">
      <alignment horizontal="center" vertical="center" wrapText="1"/>
    </xf>
    <xf numFmtId="165" fontId="14" fillId="2" borderId="3" xfId="1" applyNumberFormat="1" applyFont="1" applyFill="1" applyBorder="1" applyAlignment="1">
      <alignment horizontal="center" vertical="center" wrapText="1"/>
    </xf>
    <xf numFmtId="165" fontId="14" fillId="2" borderId="1" xfId="1" applyNumberFormat="1" applyFont="1" applyFill="1" applyBorder="1" applyAlignment="1">
      <alignment vertical="center" wrapText="1"/>
    </xf>
    <xf numFmtId="165" fontId="14" fillId="4" borderId="1" xfId="1" applyNumberFormat="1" applyFont="1" applyFill="1" applyBorder="1" applyAlignment="1">
      <alignment vertical="center" wrapText="1"/>
    </xf>
    <xf numFmtId="0" fontId="13" fillId="2" borderId="27" xfId="0" applyFont="1" applyFill="1" applyBorder="1" applyAlignment="1">
      <alignment vertical="center" wrapText="1"/>
    </xf>
    <xf numFmtId="0" fontId="13" fillId="2" borderId="27" xfId="0" applyFont="1" applyFill="1" applyBorder="1" applyAlignment="1">
      <alignment horizontal="center" vertical="center" wrapText="1"/>
    </xf>
    <xf numFmtId="0" fontId="14" fillId="2" borderId="27" xfId="0" applyFont="1" applyFill="1" applyBorder="1" applyAlignment="1">
      <alignment horizontal="center" vertical="center" wrapText="1"/>
    </xf>
    <xf numFmtId="165" fontId="14" fillId="2" borderId="27" xfId="1" applyNumberFormat="1" applyFont="1" applyFill="1" applyBorder="1" applyAlignment="1">
      <alignment vertical="center" wrapText="1"/>
    </xf>
    <xf numFmtId="165" fontId="14" fillId="2" borderId="27" xfId="1" applyNumberFormat="1" applyFont="1" applyFill="1" applyBorder="1" applyAlignment="1">
      <alignment horizontal="center" vertical="center" wrapText="1"/>
    </xf>
    <xf numFmtId="165" fontId="13" fillId="2" borderId="27" xfId="1" applyNumberFormat="1" applyFont="1" applyFill="1" applyBorder="1" applyAlignment="1">
      <alignment horizontal="center" vertical="center" wrapText="1"/>
    </xf>
    <xf numFmtId="0" fontId="13" fillId="2" borderId="28" xfId="0" applyFont="1" applyFill="1" applyBorder="1"/>
    <xf numFmtId="0" fontId="24" fillId="0" borderId="14" xfId="0" applyFont="1" applyBorder="1"/>
    <xf numFmtId="0" fontId="12" fillId="0" borderId="14" xfId="0" applyFont="1" applyBorder="1"/>
    <xf numFmtId="0" fontId="27" fillId="0" borderId="15" xfId="0" applyFont="1" applyBorder="1"/>
    <xf numFmtId="0" fontId="27" fillId="0" borderId="15" xfId="0" applyFont="1" applyBorder="1" applyAlignment="1">
      <alignment horizontal="center" vertical="center"/>
    </xf>
    <xf numFmtId="165" fontId="27" fillId="0" borderId="15" xfId="1" applyNumberFormat="1" applyFont="1" applyBorder="1" applyAlignment="1">
      <alignment vertical="center"/>
    </xf>
    <xf numFmtId="165" fontId="27" fillId="0" borderId="15" xfId="1" applyNumberFormat="1" applyFont="1" applyBorder="1" applyAlignment="1">
      <alignment horizontal="center" vertical="center"/>
    </xf>
    <xf numFmtId="0" fontId="28" fillId="0" borderId="18" xfId="0" applyFont="1" applyBorder="1"/>
    <xf numFmtId="0" fontId="26" fillId="0" borderId="15" xfId="0" applyFont="1" applyBorder="1"/>
    <xf numFmtId="0" fontId="26" fillId="0" borderId="15" xfId="0" applyFont="1" applyBorder="1" applyAlignment="1">
      <alignment horizontal="center" vertical="center"/>
    </xf>
    <xf numFmtId="165" fontId="26" fillId="0" borderId="15" xfId="1" applyNumberFormat="1" applyFont="1" applyBorder="1"/>
    <xf numFmtId="0" fontId="29" fillId="0" borderId="18" xfId="0" applyFont="1" applyBorder="1"/>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24" fillId="0" borderId="40" xfId="0" applyFont="1" applyBorder="1"/>
    <xf numFmtId="0" fontId="12" fillId="0" borderId="40" xfId="0" applyFont="1" applyBorder="1"/>
    <xf numFmtId="0" fontId="13" fillId="2" borderId="16"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4" xfId="0" applyFont="1" applyFill="1" applyBorder="1" applyAlignment="1">
      <alignment vertical="center" wrapText="1"/>
    </xf>
    <xf numFmtId="0" fontId="13"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165" fontId="14" fillId="2" borderId="4" xfId="1" applyNumberFormat="1" applyFont="1" applyFill="1" applyBorder="1" applyAlignment="1">
      <alignment vertical="center" wrapText="1"/>
    </xf>
    <xf numFmtId="165" fontId="14" fillId="2" borderId="4" xfId="1" applyNumberFormat="1" applyFont="1" applyFill="1" applyBorder="1" applyAlignment="1">
      <alignment horizontal="center" vertical="center" wrapText="1"/>
    </xf>
    <xf numFmtId="165" fontId="13" fillId="2" borderId="4" xfId="1" applyNumberFormat="1" applyFont="1" applyFill="1" applyBorder="1" applyAlignment="1">
      <alignment horizontal="center" vertical="center" wrapText="1"/>
    </xf>
    <xf numFmtId="0" fontId="13" fillId="2" borderId="17" xfId="0" applyFont="1" applyFill="1" applyBorder="1" applyAlignment="1">
      <alignment horizontal="center" vertical="center"/>
    </xf>
    <xf numFmtId="0" fontId="11" fillId="2" borderId="27" xfId="0" applyFont="1" applyFill="1" applyBorder="1" applyAlignment="1">
      <alignment horizontal="center" vertical="center" wrapText="1"/>
    </xf>
    <xf numFmtId="165" fontId="11" fillId="2" borderId="27" xfId="1" applyNumberFormat="1" applyFont="1" applyFill="1" applyBorder="1" applyAlignment="1">
      <alignment horizontal="center" vertical="center" wrapText="1"/>
    </xf>
    <xf numFmtId="165" fontId="13" fillId="2" borderId="1" xfId="1" applyNumberFormat="1"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4" xfId="0" applyFont="1" applyFill="1" applyBorder="1" applyAlignment="1">
      <alignment horizontal="left" vertical="center" wrapText="1"/>
    </xf>
    <xf numFmtId="43" fontId="0" fillId="0" borderId="0" xfId="1" applyFont="1"/>
    <xf numFmtId="166" fontId="0" fillId="0" borderId="0" xfId="0" applyNumberFormat="1"/>
    <xf numFmtId="43" fontId="1" fillId="0" borderId="0" xfId="1" applyFont="1"/>
    <xf numFmtId="0" fontId="1" fillId="0" borderId="0" xfId="0" applyFont="1" applyAlignment="1">
      <alignment horizontal="center"/>
    </xf>
    <xf numFmtId="164" fontId="1" fillId="0" borderId="0" xfId="0" applyNumberFormat="1" applyFont="1"/>
    <xf numFmtId="165" fontId="0" fillId="0" borderId="0" xfId="1" applyNumberFormat="1" applyFont="1"/>
    <xf numFmtId="166" fontId="1" fillId="0" borderId="0" xfId="0" applyNumberFormat="1" applyFont="1"/>
    <xf numFmtId="165" fontId="0" fillId="0" borderId="0" xfId="0" applyNumberFormat="1"/>
    <xf numFmtId="165" fontId="1" fillId="0" borderId="0" xfId="0" applyNumberFormat="1" applyFont="1"/>
    <xf numFmtId="166" fontId="22" fillId="0" borderId="42" xfId="0" applyNumberFormat="1" applyFont="1" applyBorder="1" applyAlignment="1">
      <alignment horizontal="center"/>
    </xf>
    <xf numFmtId="166" fontId="15" fillId="0" borderId="28" xfId="1" applyNumberFormat="1" applyFont="1" applyBorder="1" applyAlignment="1">
      <alignment horizontal="center"/>
    </xf>
    <xf numFmtId="166" fontId="22" fillId="0" borderId="18" xfId="0" applyNumberFormat="1" applyFont="1" applyBorder="1" applyAlignment="1">
      <alignment horizontal="center"/>
    </xf>
    <xf numFmtId="0" fontId="32" fillId="2" borderId="1" xfId="0" applyFont="1" applyFill="1" applyBorder="1" applyAlignment="1">
      <alignment horizontal="center" vertical="center" wrapText="1"/>
    </xf>
    <xf numFmtId="0" fontId="32" fillId="2" borderId="1" xfId="0" applyFont="1" applyFill="1" applyBorder="1" applyAlignment="1">
      <alignment horizontal="center" vertical="center"/>
    </xf>
    <xf numFmtId="0" fontId="9" fillId="2" borderId="4" xfId="0" applyFont="1" applyFill="1" applyBorder="1" applyAlignment="1">
      <alignment horizontal="left" vertical="center"/>
    </xf>
    <xf numFmtId="0" fontId="9" fillId="5"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xf>
    <xf numFmtId="0" fontId="9" fillId="2" borderId="1" xfId="0" applyFont="1" applyFill="1" applyBorder="1" applyAlignment="1">
      <alignment horizontal="left" vertical="center"/>
    </xf>
    <xf numFmtId="0" fontId="9" fillId="5" borderId="1" xfId="0" applyFont="1" applyFill="1" applyBorder="1" applyAlignment="1">
      <alignment horizontal="center" vertical="center"/>
    </xf>
    <xf numFmtId="0" fontId="1" fillId="2" borderId="1" xfId="0" applyFont="1" applyFill="1" applyBorder="1" applyAlignment="1">
      <alignment horizontal="left" vertical="center"/>
    </xf>
    <xf numFmtId="0" fontId="0" fillId="0" borderId="1" xfId="0" applyBorder="1" applyAlignment="1">
      <alignment horizontal="left" vertical="center"/>
    </xf>
    <xf numFmtId="0" fontId="36" fillId="2" borderId="1" xfId="0" applyFont="1" applyFill="1" applyBorder="1" applyAlignment="1">
      <alignment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7" fillId="2" borderId="1" xfId="0" applyFont="1" applyFill="1" applyBorder="1" applyAlignment="1">
      <alignment horizontal="center" vertical="center" wrapText="1"/>
    </xf>
    <xf numFmtId="43" fontId="38" fillId="2" borderId="1" xfId="1" applyFont="1" applyFill="1" applyBorder="1" applyAlignment="1">
      <alignment horizontal="center" vertical="center" wrapText="1"/>
    </xf>
    <xf numFmtId="43" fontId="38" fillId="5" borderId="1" xfId="1" applyFont="1" applyFill="1" applyBorder="1" applyAlignment="1">
      <alignment horizontal="center" vertical="center" wrapText="1"/>
    </xf>
    <xf numFmtId="0" fontId="0" fillId="2" borderId="1" xfId="0" applyFill="1" applyBorder="1"/>
    <xf numFmtId="0" fontId="0" fillId="2" borderId="50" xfId="0" applyFill="1" applyBorder="1" applyAlignment="1">
      <alignment horizontal="left" vertical="center"/>
    </xf>
    <xf numFmtId="0" fontId="0" fillId="2" borderId="1" xfId="0" applyFill="1" applyBorder="1" applyAlignment="1">
      <alignment wrapText="1"/>
    </xf>
    <xf numFmtId="0" fontId="0" fillId="2" borderId="1" xfId="0"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left" vertical="center" wrapText="1"/>
    </xf>
    <xf numFmtId="2" fontId="36" fillId="2" borderId="1" xfId="0" applyNumberFormat="1" applyFont="1" applyFill="1" applyBorder="1" applyAlignment="1">
      <alignment horizontal="center" vertical="center" wrapText="1"/>
    </xf>
    <xf numFmtId="0" fontId="39" fillId="2" borderId="1" xfId="0" applyFont="1" applyFill="1" applyBorder="1" applyAlignment="1">
      <alignment horizontal="center" vertical="center"/>
    </xf>
    <xf numFmtId="0" fontId="0" fillId="2" borderId="1" xfId="0" applyFill="1" applyBorder="1" applyAlignment="1">
      <alignment vertical="center" wrapText="1"/>
    </xf>
    <xf numFmtId="167" fontId="38" fillId="2" borderId="1" xfId="1" applyNumberFormat="1" applyFont="1" applyFill="1" applyBorder="1" applyAlignment="1">
      <alignment horizontal="center" vertical="center" wrapText="1"/>
    </xf>
    <xf numFmtId="0" fontId="0" fillId="2" borderId="1" xfId="0" applyFill="1" applyBorder="1" applyAlignment="1">
      <alignment vertical="center"/>
    </xf>
    <xf numFmtId="17" fontId="0" fillId="2" borderId="1" xfId="0" applyNumberFormat="1" applyFill="1" applyBorder="1" applyAlignment="1">
      <alignment horizontal="left" vertical="center"/>
    </xf>
    <xf numFmtId="0" fontId="36" fillId="2" borderId="3" xfId="0" applyFont="1" applyFill="1" applyBorder="1" applyAlignment="1">
      <alignment vertical="center" wrapText="1"/>
    </xf>
    <xf numFmtId="0" fontId="36" fillId="2" borderId="3" xfId="0" applyFont="1" applyFill="1" applyBorder="1" applyAlignment="1">
      <alignment horizontal="center" vertical="center"/>
    </xf>
    <xf numFmtId="0" fontId="36" fillId="2" borderId="3" xfId="0" applyFont="1" applyFill="1" applyBorder="1" applyAlignment="1">
      <alignment horizontal="center" vertical="center" wrapText="1"/>
    </xf>
    <xf numFmtId="0" fontId="37" fillId="2" borderId="3" xfId="0" applyFont="1" applyFill="1" applyBorder="1" applyAlignment="1">
      <alignment horizontal="center" vertical="center" wrapText="1"/>
    </xf>
    <xf numFmtId="43" fontId="38" fillId="2" borderId="3" xfId="1" applyFont="1" applyFill="1" applyBorder="1" applyAlignment="1">
      <alignment horizontal="center" vertical="center" wrapText="1"/>
    </xf>
    <xf numFmtId="43" fontId="38" fillId="5" borderId="3" xfId="1" applyFont="1" applyFill="1" applyBorder="1" applyAlignment="1">
      <alignment horizontal="center" vertical="center" wrapText="1"/>
    </xf>
    <xf numFmtId="0" fontId="0" fillId="2" borderId="3" xfId="0" applyFill="1" applyBorder="1" applyAlignment="1">
      <alignment wrapText="1"/>
    </xf>
    <xf numFmtId="0" fontId="0" fillId="2" borderId="3" xfId="0" applyFill="1" applyBorder="1" applyAlignment="1">
      <alignment horizontal="left" vertical="center" wrapText="1"/>
    </xf>
    <xf numFmtId="0" fontId="0" fillId="2" borderId="3" xfId="0" applyFill="1" applyBorder="1" applyAlignment="1">
      <alignment vertical="center"/>
    </xf>
    <xf numFmtId="17" fontId="0" fillId="2" borderId="3" xfId="0" applyNumberFormat="1" applyFill="1" applyBorder="1" applyAlignment="1">
      <alignment horizontal="left" vertical="center"/>
    </xf>
    <xf numFmtId="0" fontId="0" fillId="6" borderId="21" xfId="0" applyFill="1" applyBorder="1" applyAlignment="1">
      <alignment horizontal="left" vertical="center" wrapText="1"/>
    </xf>
    <xf numFmtId="0" fontId="0" fillId="6" borderId="30" xfId="0" applyFill="1" applyBorder="1" applyAlignment="1">
      <alignment horizontal="left"/>
    </xf>
    <xf numFmtId="0" fontId="0" fillId="6" borderId="1" xfId="0" applyFill="1" applyBorder="1" applyAlignment="1">
      <alignment horizontal="left"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17" fontId="0" fillId="6" borderId="11" xfId="0" applyNumberFormat="1" applyFill="1" applyBorder="1" applyAlignment="1">
      <alignment horizontal="left" vertical="center" wrapText="1"/>
    </xf>
    <xf numFmtId="17" fontId="0" fillId="6" borderId="11" xfId="0" applyNumberFormat="1" applyFill="1" applyBorder="1" applyAlignment="1">
      <alignment horizontal="left" vertical="center"/>
    </xf>
    <xf numFmtId="0" fontId="0" fillId="6" borderId="27" xfId="0" applyFill="1" applyBorder="1" applyAlignment="1">
      <alignment horizontal="left" vertical="center" wrapText="1"/>
    </xf>
    <xf numFmtId="0" fontId="0" fillId="6" borderId="27" xfId="0" applyFill="1" applyBorder="1" applyAlignment="1">
      <alignment horizontal="center" vertical="center"/>
    </xf>
    <xf numFmtId="0" fontId="0" fillId="6" borderId="27" xfId="0" applyFill="1" applyBorder="1" applyAlignment="1">
      <alignment horizontal="center" vertical="center" wrapText="1"/>
    </xf>
    <xf numFmtId="0" fontId="0" fillId="6" borderId="28" xfId="0" applyFill="1" applyBorder="1" applyAlignment="1">
      <alignment horizontal="left" vertical="center" wrapText="1"/>
    </xf>
    <xf numFmtId="0" fontId="0" fillId="7" borderId="7" xfId="0" applyFill="1" applyBorder="1" applyAlignment="1">
      <alignment horizontal="left" vertical="center" wrapText="1"/>
    </xf>
    <xf numFmtId="0" fontId="0" fillId="7" borderId="7"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left" vertical="center" wrapText="1"/>
    </xf>
    <xf numFmtId="0" fontId="0" fillId="7" borderId="1" xfId="0" applyFill="1" applyBorder="1" applyAlignment="1">
      <alignment horizontal="left" vertical="center"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7" borderId="11" xfId="0" applyFill="1" applyBorder="1" applyAlignment="1">
      <alignment horizontal="left" vertical="center" wrapText="1"/>
    </xf>
    <xf numFmtId="0" fontId="0" fillId="7" borderId="36" xfId="0" applyFill="1" applyBorder="1" applyAlignment="1">
      <alignment horizontal="center" vertical="center"/>
    </xf>
    <xf numFmtId="0" fontId="0" fillId="8" borderId="7" xfId="0" applyFill="1" applyBorder="1" applyAlignment="1">
      <alignment horizontal="left" vertical="center" wrapText="1"/>
    </xf>
    <xf numFmtId="0" fontId="0" fillId="8" borderId="8" xfId="0" applyFill="1" applyBorder="1" applyAlignment="1">
      <alignment horizontal="center" vertical="center" wrapText="1"/>
    </xf>
    <xf numFmtId="0" fontId="0" fillId="8" borderId="1" xfId="0" applyFill="1" applyBorder="1" applyAlignment="1">
      <alignment horizontal="left" vertical="center" wrapText="1"/>
    </xf>
    <xf numFmtId="0" fontId="0" fillId="8" borderId="36" xfId="0" applyFill="1" applyBorder="1" applyAlignment="1">
      <alignment horizontal="center" vertical="center"/>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0" fillId="8" borderId="11" xfId="0" applyFill="1" applyBorder="1" applyAlignment="1">
      <alignment horizontal="left" vertical="center" wrapText="1"/>
    </xf>
    <xf numFmtId="0" fontId="0" fillId="8" borderId="11" xfId="0" applyFill="1" applyBorder="1" applyAlignment="1">
      <alignment horizontal="center" vertical="center" wrapText="1"/>
    </xf>
    <xf numFmtId="0" fontId="0" fillId="9" borderId="7" xfId="0" applyFill="1" applyBorder="1" applyAlignment="1">
      <alignment horizontal="left" vertical="center" wrapText="1"/>
    </xf>
    <xf numFmtId="0" fontId="0" fillId="9" borderId="21" xfId="0" applyFill="1" applyBorder="1" applyAlignment="1">
      <alignment horizontal="center" vertical="center"/>
    </xf>
    <xf numFmtId="0" fontId="0" fillId="9" borderId="7" xfId="0" applyFill="1" applyBorder="1" applyAlignment="1">
      <alignment horizontal="center" vertical="center"/>
    </xf>
    <xf numFmtId="0" fontId="0" fillId="9" borderId="7" xfId="0" applyFill="1" applyBorder="1" applyAlignment="1">
      <alignment horizontal="center" vertical="center" wrapText="1"/>
    </xf>
    <xf numFmtId="0" fontId="0" fillId="9" borderId="8" xfId="0" applyFill="1" applyBorder="1" applyAlignment="1">
      <alignment horizontal="left" vertical="center" wrapText="1"/>
    </xf>
    <xf numFmtId="0" fontId="36" fillId="2" borderId="4" xfId="0" applyFont="1" applyFill="1" applyBorder="1" applyAlignment="1">
      <alignment horizontal="center" vertical="center"/>
    </xf>
    <xf numFmtId="164" fontId="36" fillId="2" borderId="4" xfId="0" applyNumberFormat="1" applyFont="1" applyFill="1" applyBorder="1" applyAlignment="1">
      <alignment horizontal="center" vertical="center"/>
    </xf>
    <xf numFmtId="164" fontId="36" fillId="5" borderId="4" xfId="0" applyNumberFormat="1" applyFont="1" applyFill="1" applyBorder="1" applyAlignment="1">
      <alignment horizontal="center" vertical="center"/>
    </xf>
    <xf numFmtId="0" fontId="0" fillId="2" borderId="4" xfId="0" applyFill="1" applyBorder="1" applyAlignment="1">
      <alignment wrapText="1"/>
    </xf>
    <xf numFmtId="0" fontId="0" fillId="2" borderId="4" xfId="0" applyFill="1" applyBorder="1" applyAlignment="1">
      <alignment horizontal="left" vertical="center" wrapText="1"/>
    </xf>
    <xf numFmtId="0" fontId="0" fillId="2" borderId="4" xfId="0" applyFill="1" applyBorder="1" applyAlignment="1">
      <alignment horizontal="center" vertical="center"/>
    </xf>
    <xf numFmtId="0" fontId="0" fillId="0" borderId="4" xfId="0" applyBorder="1" applyAlignment="1">
      <alignment horizontal="left" vertical="center"/>
    </xf>
    <xf numFmtId="0" fontId="9" fillId="2" borderId="3" xfId="0" applyFont="1" applyFill="1" applyBorder="1" applyAlignment="1">
      <alignment horizontal="left" vertical="center"/>
    </xf>
    <xf numFmtId="0" fontId="0" fillId="2" borderId="3" xfId="0" applyFill="1" applyBorder="1" applyAlignment="1">
      <alignment horizontal="center" vertical="center"/>
    </xf>
    <xf numFmtId="0" fontId="0" fillId="0" borderId="3" xfId="0" applyBorder="1" applyAlignment="1">
      <alignment horizontal="left" vertical="center"/>
    </xf>
    <xf numFmtId="0" fontId="0" fillId="10" borderId="7" xfId="0" applyFill="1" applyBorder="1" applyAlignment="1">
      <alignment horizontal="left" vertical="center" wrapText="1"/>
    </xf>
    <xf numFmtId="0" fontId="0" fillId="10" borderId="7" xfId="0" applyFill="1" applyBorder="1" applyAlignment="1">
      <alignment horizontal="center" vertical="center"/>
    </xf>
    <xf numFmtId="0" fontId="0" fillId="10" borderId="7" xfId="0" applyFill="1" applyBorder="1" applyAlignment="1">
      <alignment horizontal="center" vertical="center" wrapText="1"/>
    </xf>
    <xf numFmtId="0" fontId="0" fillId="10" borderId="8" xfId="0" applyFill="1" applyBorder="1" applyAlignment="1">
      <alignment horizontal="left" vertical="center" wrapText="1"/>
    </xf>
    <xf numFmtId="0" fontId="0" fillId="10" borderId="1" xfId="0" applyFill="1" applyBorder="1" applyAlignment="1">
      <alignment horizontal="left" vertical="center" wrapText="1"/>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0" fontId="0" fillId="10" borderId="11" xfId="0" applyFill="1" applyBorder="1" applyAlignment="1">
      <alignment horizontal="left" vertical="center"/>
    </xf>
    <xf numFmtId="0" fontId="0" fillId="10" borderId="11" xfId="0" applyFill="1" applyBorder="1" applyAlignment="1">
      <alignment horizontal="left" vertical="center" wrapText="1"/>
    </xf>
    <xf numFmtId="0" fontId="0" fillId="10" borderId="27" xfId="0" applyFill="1" applyBorder="1" applyAlignment="1">
      <alignment horizontal="left" vertical="center" wrapText="1"/>
    </xf>
    <xf numFmtId="0" fontId="0" fillId="10" borderId="27" xfId="0" applyFill="1" applyBorder="1" applyAlignment="1">
      <alignment horizontal="center" vertical="center"/>
    </xf>
    <xf numFmtId="0" fontId="0" fillId="10" borderId="27" xfId="0" applyFill="1" applyBorder="1" applyAlignment="1">
      <alignment horizontal="center" vertical="center" wrapText="1"/>
    </xf>
    <xf numFmtId="0" fontId="0" fillId="10" borderId="28" xfId="0" applyFill="1" applyBorder="1" applyAlignment="1">
      <alignment horizontal="left" vertical="center" wrapText="1"/>
    </xf>
    <xf numFmtId="0" fontId="0" fillId="8" borderId="7" xfId="0" applyFill="1" applyBorder="1" applyAlignment="1">
      <alignment horizontal="center" vertical="center"/>
    </xf>
    <xf numFmtId="0" fontId="0" fillId="8" borderId="7" xfId="0" applyFill="1" applyBorder="1" applyAlignment="1">
      <alignment horizontal="center" vertical="center" wrapText="1"/>
    </xf>
    <xf numFmtId="0" fontId="0" fillId="8" borderId="8" xfId="0" applyFill="1" applyBorder="1" applyAlignment="1">
      <alignment horizontal="left" vertical="center"/>
    </xf>
    <xf numFmtId="0" fontId="0" fillId="8" borderId="27" xfId="0" applyFill="1" applyBorder="1" applyAlignment="1">
      <alignment horizontal="left" vertical="center" wrapText="1"/>
    </xf>
    <xf numFmtId="0" fontId="0" fillId="8" borderId="27" xfId="0" applyFill="1" applyBorder="1" applyAlignment="1">
      <alignment horizontal="center" vertical="center"/>
    </xf>
    <xf numFmtId="0" fontId="0" fillId="8" borderId="27" xfId="0" applyFill="1" applyBorder="1" applyAlignment="1">
      <alignment horizontal="center" vertical="center" wrapText="1"/>
    </xf>
    <xf numFmtId="0" fontId="0" fillId="8" borderId="28" xfId="0" applyFill="1" applyBorder="1" applyAlignment="1">
      <alignment horizontal="left" vertical="center"/>
    </xf>
    <xf numFmtId="0" fontId="36" fillId="2" borderId="4" xfId="0" applyFont="1" applyFill="1" applyBorder="1" applyAlignment="1">
      <alignment vertical="center" wrapText="1"/>
    </xf>
    <xf numFmtId="0" fontId="36" fillId="2" borderId="4"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42" fillId="9" borderId="7" xfId="0" applyFont="1" applyFill="1" applyBorder="1" applyAlignment="1">
      <alignment horizontal="center" vertical="center" wrapText="1"/>
    </xf>
    <xf numFmtId="17" fontId="0" fillId="9" borderId="8" xfId="0" applyNumberFormat="1" applyFill="1" applyBorder="1" applyAlignment="1">
      <alignment horizontal="left" vertical="center"/>
    </xf>
    <xf numFmtId="0" fontId="0" fillId="9" borderId="27" xfId="0" applyFill="1" applyBorder="1" applyAlignment="1">
      <alignment horizontal="left" vertical="center" wrapText="1"/>
    </xf>
    <xf numFmtId="0" fontId="0" fillId="9" borderId="27" xfId="0" applyFill="1" applyBorder="1" applyAlignment="1">
      <alignment vertical="center"/>
    </xf>
    <xf numFmtId="17" fontId="0" fillId="9" borderId="28" xfId="0" applyNumberFormat="1" applyFill="1" applyBorder="1" applyAlignment="1">
      <alignment horizontal="left" vertical="center"/>
    </xf>
    <xf numFmtId="0" fontId="43" fillId="11" borderId="7" xfId="0" applyFont="1" applyFill="1" applyBorder="1" applyAlignment="1">
      <alignment horizontal="left" vertical="center" wrapText="1"/>
    </xf>
    <xf numFmtId="0" fontId="0" fillId="11" borderId="7" xfId="0" applyFill="1" applyBorder="1" applyAlignment="1">
      <alignment horizontal="center" vertical="center" wrapText="1"/>
    </xf>
    <xf numFmtId="0" fontId="0" fillId="11" borderId="8" xfId="0" applyFill="1" applyBorder="1" applyAlignment="1">
      <alignment horizontal="left" vertical="center" wrapText="1"/>
    </xf>
    <xf numFmtId="0" fontId="43" fillId="11" borderId="1" xfId="0" applyFont="1" applyFill="1" applyBorder="1" applyAlignment="1">
      <alignment horizontal="left"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0" fontId="0" fillId="11" borderId="11" xfId="0" applyFill="1" applyBorder="1" applyAlignment="1">
      <alignment horizontal="left" vertical="center" wrapText="1"/>
    </xf>
    <xf numFmtId="0" fontId="43" fillId="11" borderId="27" xfId="0" applyFont="1" applyFill="1" applyBorder="1" applyAlignment="1">
      <alignment horizontal="left" vertical="center" wrapText="1"/>
    </xf>
    <xf numFmtId="0" fontId="0" fillId="11" borderId="27" xfId="0" applyFill="1" applyBorder="1" applyAlignment="1">
      <alignment horizontal="center" vertical="center"/>
    </xf>
    <xf numFmtId="0" fontId="0" fillId="11" borderId="27" xfId="0" applyFill="1" applyBorder="1" applyAlignment="1">
      <alignment horizontal="center" vertical="center" wrapText="1"/>
    </xf>
    <xf numFmtId="0" fontId="0" fillId="11" borderId="28" xfId="0" applyFill="1" applyBorder="1" applyAlignment="1">
      <alignment horizontal="left" vertical="center"/>
    </xf>
    <xf numFmtId="0" fontId="0" fillId="6" borderId="7" xfId="0" applyFill="1" applyBorder="1" applyAlignment="1">
      <alignment horizontal="left" vertical="center" wrapText="1"/>
    </xf>
    <xf numFmtId="17" fontId="0" fillId="6" borderId="8" xfId="0" applyNumberFormat="1" applyFill="1" applyBorder="1" applyAlignment="1">
      <alignment horizontal="left" vertical="center" wrapText="1"/>
    </xf>
    <xf numFmtId="0" fontId="0" fillId="6" borderId="11" xfId="0" applyFill="1" applyBorder="1" applyAlignment="1">
      <alignment horizontal="left" vertical="center" wrapText="1"/>
    </xf>
    <xf numFmtId="0" fontId="0" fillId="6" borderId="24" xfId="0" applyFill="1" applyBorder="1" applyAlignment="1">
      <alignment horizontal="center" vertical="center"/>
    </xf>
    <xf numFmtId="0" fontId="1" fillId="2" borderId="1" xfId="0" applyFont="1" applyFill="1" applyBorder="1" applyAlignment="1">
      <alignment horizontal="left" vertical="center" wrapText="1"/>
    </xf>
    <xf numFmtId="0" fontId="1" fillId="0" borderId="1" xfId="0" applyFont="1" applyBorder="1" applyAlignment="1">
      <alignment horizontal="center"/>
    </xf>
    <xf numFmtId="2" fontId="1" fillId="2" borderId="1" xfId="0" applyNumberFormat="1" applyFont="1" applyFill="1" applyBorder="1" applyAlignment="1">
      <alignment horizontal="center"/>
    </xf>
    <xf numFmtId="0" fontId="0" fillId="2" borderId="1" xfId="0" applyFill="1" applyBorder="1" applyAlignment="1">
      <alignment horizontal="center"/>
    </xf>
    <xf numFmtId="164" fontId="0" fillId="2" borderId="1" xfId="0" applyNumberFormat="1" applyFill="1" applyBorder="1" applyAlignment="1">
      <alignment horizontal="center"/>
    </xf>
    <xf numFmtId="0" fontId="0" fillId="0" borderId="1" xfId="0" applyBorder="1"/>
    <xf numFmtId="0" fontId="0" fillId="0" borderId="0" xfId="0" applyAlignment="1">
      <alignment horizontal="left" vertical="center"/>
    </xf>
    <xf numFmtId="0" fontId="12" fillId="4" borderId="0" xfId="0" applyFont="1" applyFill="1"/>
    <xf numFmtId="0" fontId="0" fillId="0" borderId="1" xfId="0" applyBorder="1" applyAlignment="1">
      <alignment horizontal="center" vertical="center"/>
    </xf>
    <xf numFmtId="0" fontId="15" fillId="0" borderId="9" xfId="0" applyFont="1" applyBorder="1" applyAlignment="1">
      <alignment horizontal="center" vertical="center"/>
    </xf>
    <xf numFmtId="0" fontId="15" fillId="0" borderId="3" xfId="0" applyFont="1" applyBorder="1" applyAlignment="1">
      <alignment horizontal="left" vertical="center" wrapText="1"/>
    </xf>
    <xf numFmtId="0" fontId="15" fillId="0" borderId="3" xfId="0" applyFont="1" applyBorder="1" applyAlignment="1">
      <alignment horizontal="center" vertical="center"/>
    </xf>
    <xf numFmtId="166" fontId="15" fillId="0" borderId="3" xfId="1" applyNumberFormat="1" applyFont="1" applyBorder="1" applyAlignment="1">
      <alignment horizontal="center" vertical="center"/>
    </xf>
    <xf numFmtId="165" fontId="27" fillId="0" borderId="15"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center" vertical="center" wrapText="1"/>
    </xf>
    <xf numFmtId="168"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15" fillId="2" borderId="16" xfId="0" applyFont="1" applyFill="1" applyBorder="1" applyAlignment="1">
      <alignment horizontal="center" vertical="center"/>
    </xf>
    <xf numFmtId="0" fontId="15" fillId="2" borderId="4" xfId="0" applyFont="1" applyFill="1" applyBorder="1" applyAlignment="1">
      <alignment horizontal="center" vertical="center" wrapText="1"/>
    </xf>
    <xf numFmtId="0" fontId="3" fillId="2" borderId="4" xfId="0" applyFont="1" applyFill="1" applyBorder="1" applyAlignment="1">
      <alignment vertical="center"/>
    </xf>
    <xf numFmtId="0" fontId="3" fillId="2" borderId="4" xfId="0" applyFont="1" applyFill="1" applyBorder="1" applyAlignment="1">
      <alignment horizontal="center" vertical="center"/>
    </xf>
    <xf numFmtId="3" fontId="2" fillId="2" borderId="4" xfId="0" applyNumberFormat="1" applyFont="1" applyFill="1" applyBorder="1" applyAlignment="1">
      <alignment vertical="center"/>
    </xf>
    <xf numFmtId="165" fontId="3" fillId="2" borderId="4" xfId="1" applyNumberFormat="1" applyFont="1" applyFill="1" applyBorder="1" applyAlignment="1">
      <alignment horizontal="center" vertical="center"/>
    </xf>
    <xf numFmtId="0" fontId="15" fillId="2" borderId="17" xfId="0" applyFont="1" applyFill="1" applyBorder="1" applyAlignment="1">
      <alignment vertical="center" wrapText="1"/>
    </xf>
    <xf numFmtId="0" fontId="15" fillId="2" borderId="10" xfId="0" applyFont="1" applyFill="1" applyBorder="1" applyAlignment="1">
      <alignment horizontal="center" vertical="center"/>
    </xf>
    <xf numFmtId="0" fontId="15" fillId="2" borderId="1" xfId="0" applyFont="1" applyFill="1" applyBorder="1" applyAlignment="1">
      <alignment horizontal="center" vertical="center" wrapText="1"/>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3" fontId="2" fillId="2" borderId="1" xfId="0" applyNumberFormat="1" applyFont="1" applyFill="1" applyBorder="1" applyAlignment="1">
      <alignment vertical="center"/>
    </xf>
    <xf numFmtId="165" fontId="3" fillId="2" borderId="1" xfId="1" applyNumberFormat="1" applyFont="1" applyFill="1" applyBorder="1" applyAlignment="1">
      <alignment horizontal="center" vertical="center"/>
    </xf>
    <xf numFmtId="0" fontId="15" fillId="2" borderId="1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15" fillId="2" borderId="11" xfId="0" applyFont="1" applyFill="1" applyBorder="1" applyAlignment="1">
      <alignment horizontal="left" vertical="center" wrapText="1"/>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wrapText="1"/>
    </xf>
    <xf numFmtId="0" fontId="3" fillId="2" borderId="27" xfId="0" applyFont="1" applyFill="1" applyBorder="1" applyAlignment="1">
      <alignment vertical="center" wrapText="1"/>
    </xf>
    <xf numFmtId="0" fontId="3" fillId="2" borderId="27" xfId="0" applyFont="1" applyFill="1" applyBorder="1" applyAlignment="1">
      <alignment horizontal="center" vertical="center" wrapText="1"/>
    </xf>
    <xf numFmtId="3" fontId="2" fillId="2" borderId="27" xfId="0" applyNumberFormat="1" applyFont="1" applyFill="1" applyBorder="1" applyAlignment="1">
      <alignment vertical="center"/>
    </xf>
    <xf numFmtId="165" fontId="3" fillId="2" borderId="27" xfId="1" applyNumberFormat="1" applyFont="1" applyFill="1" applyBorder="1" applyAlignment="1">
      <alignment horizontal="center" vertical="center"/>
    </xf>
    <xf numFmtId="0" fontId="15" fillId="2" borderId="28" xfId="0" applyFont="1" applyFill="1" applyBorder="1" applyAlignment="1">
      <alignment vertical="center" wrapText="1"/>
    </xf>
    <xf numFmtId="0" fontId="15" fillId="2" borderId="23" xfId="0" applyFont="1" applyFill="1" applyBorder="1" applyAlignment="1">
      <alignment horizontal="center" vertical="center"/>
    </xf>
    <xf numFmtId="0" fontId="15" fillId="2" borderId="24" xfId="0" applyFont="1" applyFill="1" applyBorder="1" applyAlignment="1">
      <alignment horizontal="center" vertical="center" wrapText="1"/>
    </xf>
    <xf numFmtId="0" fontId="3" fillId="2" borderId="24" xfId="0" applyFont="1" applyFill="1" applyBorder="1" applyAlignment="1">
      <alignment vertical="center" wrapText="1"/>
    </xf>
    <xf numFmtId="0" fontId="3" fillId="2" borderId="24" xfId="0" applyFont="1" applyFill="1" applyBorder="1" applyAlignment="1">
      <alignment horizontal="center" vertical="center" wrapText="1"/>
    </xf>
    <xf numFmtId="3" fontId="2" fillId="2" borderId="24" xfId="0" applyNumberFormat="1" applyFont="1" applyFill="1" applyBorder="1" applyAlignment="1">
      <alignment vertical="center"/>
    </xf>
    <xf numFmtId="0" fontId="15" fillId="2" borderId="25" xfId="0" applyFont="1" applyFill="1" applyBorder="1" applyAlignment="1">
      <alignment vertical="center" wrapText="1"/>
    </xf>
    <xf numFmtId="0" fontId="16" fillId="2" borderId="23" xfId="0" applyFont="1" applyFill="1" applyBorder="1" applyAlignment="1">
      <alignment horizontal="center"/>
    </xf>
    <xf numFmtId="0" fontId="16" fillId="2" borderId="24" xfId="0" applyFont="1" applyFill="1" applyBorder="1" applyAlignment="1">
      <alignment horizontal="center" wrapText="1"/>
    </xf>
    <xf numFmtId="0" fontId="25" fillId="2" borderId="24" xfId="0" applyFont="1" applyFill="1" applyBorder="1" applyAlignment="1">
      <alignment horizontal="left"/>
    </xf>
    <xf numFmtId="0" fontId="25" fillId="2" borderId="24" xfId="0" applyFont="1" applyFill="1" applyBorder="1" applyAlignment="1">
      <alignment horizontal="center"/>
    </xf>
    <xf numFmtId="3" fontId="16" fillId="2" borderId="24" xfId="0" applyNumberFormat="1" applyFont="1" applyFill="1" applyBorder="1"/>
    <xf numFmtId="0" fontId="26" fillId="2" borderId="25" xfId="0" applyFont="1" applyFill="1" applyBorder="1"/>
    <xf numFmtId="0" fontId="15" fillId="0" borderId="27" xfId="0" applyFont="1" applyBorder="1" applyAlignment="1">
      <alignment horizontal="left" wrapText="1"/>
    </xf>
    <xf numFmtId="0" fontId="45" fillId="0" borderId="0" xfId="0" applyFont="1" applyAlignment="1">
      <alignment horizontal="left" vertical="center" wrapText="1" readingOrder="1"/>
    </xf>
    <xf numFmtId="0" fontId="1" fillId="2" borderId="22" xfId="0" applyFont="1" applyFill="1" applyBorder="1" applyAlignment="1">
      <alignment horizontal="center" vertical="center"/>
    </xf>
    <xf numFmtId="0" fontId="1" fillId="2" borderId="25" xfId="0" applyFont="1" applyFill="1" applyBorder="1" applyAlignment="1">
      <alignment horizontal="center" vertical="center"/>
    </xf>
    <xf numFmtId="0" fontId="16" fillId="2" borderId="0" xfId="0" applyFont="1" applyFill="1" applyAlignment="1">
      <alignment horizontal="center"/>
    </xf>
    <xf numFmtId="0" fontId="11" fillId="2" borderId="7"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20"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7" xfId="0" applyFont="1" applyFill="1" applyBorder="1" applyAlignment="1">
      <alignment vertical="center" wrapText="1"/>
    </xf>
    <xf numFmtId="0" fontId="11" fillId="2" borderId="27" xfId="0" applyFont="1" applyFill="1" applyBorder="1" applyAlignment="1">
      <alignment vertical="center" wrapText="1"/>
    </xf>
    <xf numFmtId="0" fontId="11" fillId="2" borderId="2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2" xfId="0" applyFont="1" applyBorder="1" applyAlignment="1">
      <alignment horizontal="center" vertical="center" wrapText="1"/>
    </xf>
    <xf numFmtId="0" fontId="7" fillId="3" borderId="1" xfId="0" applyFont="1" applyFill="1" applyBorder="1" applyAlignment="1">
      <alignment horizontal="center" vertical="center" wrapText="1"/>
    </xf>
    <xf numFmtId="0" fontId="16" fillId="0" borderId="0" xfId="0" applyFont="1" applyAlignment="1">
      <alignment horizontal="center" vertical="center" wrapText="1"/>
    </xf>
    <xf numFmtId="0" fontId="2" fillId="2" borderId="20"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24" xfId="0" applyFont="1" applyFill="1" applyBorder="1" applyAlignment="1">
      <alignment horizontal="center" vertical="center"/>
    </xf>
    <xf numFmtId="165" fontId="2" fillId="2" borderId="21" xfId="1" applyNumberFormat="1" applyFont="1" applyFill="1" applyBorder="1" applyAlignment="1">
      <alignment horizontal="center" vertical="center" wrapText="1"/>
    </xf>
    <xf numFmtId="165" fontId="2" fillId="2" borderId="36" xfId="1" applyNumberFormat="1" applyFont="1" applyFill="1" applyBorder="1" applyAlignment="1">
      <alignment horizontal="center" vertical="center" wrapText="1"/>
    </xf>
    <xf numFmtId="165" fontId="2" fillId="2" borderId="24" xfId="1" applyNumberFormat="1" applyFont="1" applyFill="1" applyBorder="1" applyAlignment="1">
      <alignment horizontal="center" vertical="center" wrapText="1"/>
    </xf>
    <xf numFmtId="0" fontId="2" fillId="2" borderId="22"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5" xfId="0" applyFont="1" applyFill="1" applyBorder="1" applyAlignment="1">
      <alignment horizontal="center" vertical="center"/>
    </xf>
    <xf numFmtId="0" fontId="18" fillId="0" borderId="0" xfId="0" applyFont="1" applyAlignment="1">
      <alignment vertical="center"/>
    </xf>
    <xf numFmtId="0" fontId="25" fillId="0" borderId="0" xfId="0" applyFont="1" applyAlignment="1">
      <alignment horizontal="center" vertical="center"/>
    </xf>
    <xf numFmtId="0" fontId="16" fillId="0" borderId="0" xfId="0" applyFont="1" applyAlignment="1">
      <alignment horizontal="center" vertical="center"/>
    </xf>
    <xf numFmtId="0" fontId="5" fillId="0" borderId="0" xfId="0" applyFont="1" applyAlignment="1">
      <alignment vertical="center"/>
    </xf>
    <xf numFmtId="0" fontId="9" fillId="0" borderId="0" xfId="0" applyFont="1" applyAlignment="1">
      <alignment vertical="center"/>
    </xf>
    <xf numFmtId="0" fontId="9" fillId="0" borderId="19" xfId="0" applyFont="1" applyBorder="1" applyAlignment="1">
      <alignment vertical="center"/>
    </xf>
    <xf numFmtId="0" fontId="17" fillId="0" borderId="0" xfId="0" applyFont="1" applyAlignment="1">
      <alignment vertical="center"/>
    </xf>
    <xf numFmtId="0" fontId="20" fillId="0" borderId="0" xfId="0" applyFont="1" applyAlignment="1">
      <alignment vertical="center"/>
    </xf>
    <xf numFmtId="0" fontId="44" fillId="0" borderId="1" xfId="0" applyFont="1" applyBorder="1" applyAlignment="1">
      <alignment horizontal="center" wrapText="1"/>
    </xf>
    <xf numFmtId="0" fontId="44" fillId="0" borderId="1" xfId="0" applyFont="1" applyBorder="1" applyAlignment="1">
      <alignment horizontal="center"/>
    </xf>
    <xf numFmtId="0" fontId="1" fillId="0" borderId="1" xfId="0" applyFont="1" applyBorder="1" applyAlignment="1">
      <alignment horizontal="left" vertical="center"/>
    </xf>
    <xf numFmtId="0" fontId="0" fillId="0" borderId="1" xfId="0" applyBorder="1" applyAlignment="1">
      <alignment horizontal="left" wrapText="1"/>
    </xf>
    <xf numFmtId="0" fontId="1" fillId="0" borderId="1" xfId="0" applyFont="1" applyBorder="1" applyAlignment="1">
      <alignment horizont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8" xfId="0" applyFont="1" applyBorder="1" applyAlignment="1">
      <alignment horizontal="center" vertical="center" wrapText="1"/>
    </xf>
    <xf numFmtId="0" fontId="15" fillId="0" borderId="15" xfId="0" applyFont="1" applyBorder="1" applyAlignment="1">
      <alignment horizontal="left" vertical="center" wrapText="1"/>
    </xf>
    <xf numFmtId="0" fontId="15" fillId="0" borderId="18" xfId="0" applyFont="1" applyBorder="1" applyAlignment="1">
      <alignment horizontal="left" vertical="center" wrapText="1"/>
    </xf>
    <xf numFmtId="0" fontId="6" fillId="2" borderId="32" xfId="0" applyFont="1" applyFill="1" applyBorder="1" applyAlignment="1">
      <alignment horizontal="center"/>
    </xf>
    <xf numFmtId="0" fontId="6" fillId="2" borderId="33" xfId="0" applyFont="1" applyFill="1" applyBorder="1" applyAlignment="1">
      <alignment horizontal="center"/>
    </xf>
    <xf numFmtId="0" fontId="6" fillId="2" borderId="30" xfId="0" applyFont="1" applyFill="1" applyBorder="1" applyAlignment="1">
      <alignment horizontal="center"/>
    </xf>
    <xf numFmtId="0" fontId="6" fillId="2" borderId="21" xfId="0" applyFont="1" applyFill="1" applyBorder="1" applyAlignment="1">
      <alignment horizontal="center"/>
    </xf>
    <xf numFmtId="0" fontId="6" fillId="2" borderId="22" xfId="0" applyFont="1" applyFill="1" applyBorder="1" applyAlignment="1">
      <alignment horizontal="center"/>
    </xf>
    <xf numFmtId="0" fontId="25" fillId="2" borderId="0" xfId="0" applyFont="1" applyFill="1" applyAlignment="1">
      <alignment horizontal="center" vertical="center"/>
    </xf>
    <xf numFmtId="0" fontId="6" fillId="2" borderId="12" xfId="0" applyFont="1" applyFill="1" applyBorder="1" applyAlignment="1">
      <alignment horizontal="center" wrapText="1"/>
    </xf>
    <xf numFmtId="0" fontId="6" fillId="2" borderId="13" xfId="0" applyFont="1" applyFill="1" applyBorder="1" applyAlignment="1">
      <alignment horizontal="center" wrapText="1"/>
    </xf>
    <xf numFmtId="0" fontId="6" fillId="2" borderId="2" xfId="0" applyFont="1" applyFill="1" applyBorder="1" applyAlignment="1">
      <alignment horizontal="center" wrapText="1"/>
    </xf>
    <xf numFmtId="0" fontId="6" fillId="2" borderId="32" xfId="0" applyFont="1" applyFill="1" applyBorder="1" applyAlignment="1">
      <alignment horizontal="center" wrapText="1"/>
    </xf>
    <xf numFmtId="0" fontId="6" fillId="2" borderId="30" xfId="0" applyFont="1" applyFill="1" applyBorder="1" applyAlignment="1">
      <alignment horizontal="center" wrapText="1"/>
    </xf>
    <xf numFmtId="0" fontId="7"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xf>
    <xf numFmtId="0" fontId="8" fillId="0" borderId="0" xfId="0" applyFont="1" applyAlignment="1">
      <alignment horizontal="center" vertical="center"/>
    </xf>
    <xf numFmtId="0" fontId="30" fillId="2" borderId="3" xfId="0" applyFont="1" applyFill="1" applyBorder="1" applyAlignment="1">
      <alignment horizontal="center" vertical="center" wrapText="1"/>
    </xf>
    <xf numFmtId="0" fontId="30" fillId="2" borderId="36"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1" xfId="0" applyFont="1" applyFill="1" applyBorder="1" applyAlignment="1">
      <alignment horizontal="center"/>
    </xf>
    <xf numFmtId="0" fontId="32" fillId="5"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4" xfId="0" applyFont="1" applyFill="1" applyBorder="1" applyAlignment="1">
      <alignment horizontal="center" vertical="center"/>
    </xf>
    <xf numFmtId="0" fontId="33" fillId="2" borderId="43" xfId="0" applyFont="1" applyFill="1" applyBorder="1" applyAlignment="1">
      <alignment horizontal="center" vertical="center" wrapText="1"/>
    </xf>
    <xf numFmtId="0" fontId="33" fillId="2" borderId="44" xfId="0" applyFont="1" applyFill="1" applyBorder="1" applyAlignment="1">
      <alignment horizontal="center" vertical="center" wrapText="1"/>
    </xf>
    <xf numFmtId="0" fontId="33" fillId="2" borderId="45" xfId="0" applyFont="1" applyFill="1" applyBorder="1" applyAlignment="1">
      <alignment horizontal="center" vertical="center" wrapText="1"/>
    </xf>
    <xf numFmtId="0" fontId="33" fillId="2" borderId="46"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41" xfId="0" applyFont="1" applyFill="1" applyBorder="1" applyAlignment="1">
      <alignment horizontal="center" vertical="center" wrapText="1"/>
    </xf>
    <xf numFmtId="0" fontId="33" fillId="2" borderId="47" xfId="0" applyFont="1" applyFill="1" applyBorder="1" applyAlignment="1">
      <alignment horizontal="center" vertical="center" wrapText="1"/>
    </xf>
    <xf numFmtId="0" fontId="33" fillId="2" borderId="48" xfId="0" applyFont="1" applyFill="1" applyBorder="1" applyAlignment="1">
      <alignment horizontal="center" vertical="center" wrapText="1"/>
    </xf>
    <xf numFmtId="0" fontId="33" fillId="2" borderId="49"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1" xfId="0" applyFont="1" applyFill="1" applyBorder="1" applyAlignment="1">
      <alignment vertical="center" wrapText="1"/>
    </xf>
    <xf numFmtId="0" fontId="34" fillId="2" borderId="1" xfId="0" applyFont="1" applyFill="1" applyBorder="1" applyAlignment="1">
      <alignment horizontal="left" vertical="center" wrapText="1"/>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38" xfId="0" applyFill="1" applyBorder="1" applyAlignment="1">
      <alignment horizontal="center" vertical="center"/>
    </xf>
    <xf numFmtId="0" fontId="0" fillId="2" borderId="50" xfId="0" applyFill="1" applyBorder="1" applyAlignment="1">
      <alignment horizontal="center" vertical="center" wrapText="1"/>
    </xf>
    <xf numFmtId="0" fontId="0" fillId="2" borderId="51" xfId="0" applyFill="1" applyBorder="1" applyAlignment="1">
      <alignment horizontal="center" vertical="center" wrapText="1"/>
    </xf>
    <xf numFmtId="0" fontId="0" fillId="2" borderId="38" xfId="0" applyFill="1" applyBorder="1" applyAlignment="1">
      <alignment horizontal="center" vertical="center" wrapText="1"/>
    </xf>
    <xf numFmtId="0" fontId="32" fillId="2" borderId="1" xfId="0" applyFont="1"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36" fillId="6" borderId="20" xfId="0" applyFont="1" applyFill="1" applyBorder="1" applyAlignment="1">
      <alignment horizontal="center" vertical="center" wrapText="1"/>
    </xf>
    <xf numFmtId="0" fontId="36" fillId="6" borderId="37" xfId="0" applyFont="1" applyFill="1" applyBorder="1" applyAlignment="1">
      <alignment horizontal="center" vertical="center" wrapText="1"/>
    </xf>
    <xf numFmtId="0" fontId="36" fillId="6" borderId="23" xfId="0" applyFont="1" applyFill="1" applyBorder="1" applyAlignment="1">
      <alignment horizontal="center" vertical="center" wrapText="1"/>
    </xf>
    <xf numFmtId="0" fontId="36" fillId="6" borderId="21" xfId="0" applyFont="1" applyFill="1" applyBorder="1" applyAlignment="1">
      <alignment horizontal="center" vertical="center"/>
    </xf>
    <xf numFmtId="0" fontId="36" fillId="6" borderId="36" xfId="0" applyFont="1" applyFill="1" applyBorder="1" applyAlignment="1">
      <alignment horizontal="center" vertical="center"/>
    </xf>
    <xf numFmtId="0" fontId="36" fillId="6" borderId="24" xfId="0" applyFont="1" applyFill="1" applyBorder="1" applyAlignment="1">
      <alignment horizontal="center" vertical="center"/>
    </xf>
    <xf numFmtId="0" fontId="0" fillId="6" borderId="7" xfId="0" applyFill="1" applyBorder="1" applyAlignment="1">
      <alignment horizontal="center"/>
    </xf>
    <xf numFmtId="0" fontId="36" fillId="6" borderId="21" xfId="0" applyFont="1" applyFill="1" applyBorder="1" applyAlignment="1">
      <alignment horizontal="center" vertical="center" wrapText="1"/>
    </xf>
    <xf numFmtId="0" fontId="36" fillId="6" borderId="36" xfId="0" applyFont="1" applyFill="1" applyBorder="1" applyAlignment="1">
      <alignment horizontal="center" vertical="center" wrapText="1"/>
    </xf>
    <xf numFmtId="0" fontId="36" fillId="6" borderId="24" xfId="0" applyFont="1" applyFill="1" applyBorder="1" applyAlignment="1">
      <alignment horizontal="center" vertical="center" wrapText="1"/>
    </xf>
    <xf numFmtId="0" fontId="40" fillId="6" borderId="21" xfId="0" applyFont="1" applyFill="1" applyBorder="1" applyAlignment="1">
      <alignment horizontal="center" vertical="center" wrapText="1"/>
    </xf>
    <xf numFmtId="0" fontId="40" fillId="6" borderId="36" xfId="0" applyFont="1" applyFill="1" applyBorder="1" applyAlignment="1">
      <alignment horizontal="center" vertical="center" wrapText="1"/>
    </xf>
    <xf numFmtId="0" fontId="40" fillId="6" borderId="24" xfId="0" applyFont="1" applyFill="1" applyBorder="1" applyAlignment="1">
      <alignment horizontal="center" vertical="center" wrapText="1"/>
    </xf>
    <xf numFmtId="43" fontId="38" fillId="6" borderId="21" xfId="1" applyFont="1" applyFill="1" applyBorder="1" applyAlignment="1">
      <alignment horizontal="center" vertical="center" wrapText="1"/>
    </xf>
    <xf numFmtId="43" fontId="38" fillId="6" borderId="36" xfId="1" applyFont="1" applyFill="1" applyBorder="1" applyAlignment="1">
      <alignment horizontal="center" vertical="center" wrapText="1"/>
    </xf>
    <xf numFmtId="43" fontId="38" fillId="6" borderId="24" xfId="1" applyFont="1" applyFill="1" applyBorder="1" applyAlignment="1">
      <alignment horizontal="center" vertical="center" wrapText="1"/>
    </xf>
    <xf numFmtId="43" fontId="38" fillId="5" borderId="21" xfId="1" applyFont="1" applyFill="1" applyBorder="1" applyAlignment="1">
      <alignment horizontal="center" vertical="center" wrapText="1"/>
    </xf>
    <xf numFmtId="43" fontId="38" fillId="5" borderId="36" xfId="1" applyFont="1" applyFill="1" applyBorder="1" applyAlignment="1">
      <alignment horizontal="center" vertical="center" wrapText="1"/>
    </xf>
    <xf numFmtId="43" fontId="38" fillId="5" borderId="24" xfId="1" applyFont="1" applyFill="1" applyBorder="1" applyAlignment="1">
      <alignment horizontal="center" vertical="center" wrapText="1"/>
    </xf>
    <xf numFmtId="0" fontId="0" fillId="6" borderId="21" xfId="0" applyFill="1" applyBorder="1" applyAlignment="1">
      <alignment horizontal="center" vertical="center" wrapText="1"/>
    </xf>
    <xf numFmtId="0" fontId="0" fillId="6" borderId="36" xfId="0" applyFill="1" applyBorder="1" applyAlignment="1">
      <alignment horizontal="center" vertical="center" wrapText="1"/>
    </xf>
    <xf numFmtId="0" fontId="0" fillId="6" borderId="24" xfId="0" applyFill="1" applyBorder="1" applyAlignment="1">
      <alignment horizontal="center" vertical="center" wrapText="1"/>
    </xf>
    <xf numFmtId="0" fontId="36" fillId="7" borderId="20" xfId="0" applyFont="1" applyFill="1" applyBorder="1" applyAlignment="1">
      <alignment horizontal="center" vertical="center" wrapText="1"/>
    </xf>
    <xf numFmtId="0" fontId="36" fillId="7" borderId="37"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6" fillId="7" borderId="21" xfId="0" applyFont="1" applyFill="1" applyBorder="1" applyAlignment="1">
      <alignment horizontal="center" vertical="center"/>
    </xf>
    <xf numFmtId="0" fontId="36" fillId="7" borderId="36" xfId="0" applyFont="1" applyFill="1" applyBorder="1" applyAlignment="1">
      <alignment horizontal="center" vertical="center"/>
    </xf>
    <xf numFmtId="0" fontId="36" fillId="7" borderId="24" xfId="0" applyFont="1" applyFill="1" applyBorder="1" applyAlignment="1">
      <alignment horizontal="center" vertical="center"/>
    </xf>
    <xf numFmtId="0" fontId="36" fillId="7" borderId="21" xfId="0" applyFont="1" applyFill="1" applyBorder="1" applyAlignment="1">
      <alignment horizontal="center" vertical="center" wrapText="1"/>
    </xf>
    <xf numFmtId="0" fontId="36" fillId="7" borderId="36" xfId="0" applyFont="1" applyFill="1" applyBorder="1" applyAlignment="1">
      <alignment horizontal="center" vertical="center" wrapText="1"/>
    </xf>
    <xf numFmtId="0" fontId="36" fillId="7" borderId="24" xfId="0" applyFont="1" applyFill="1" applyBorder="1" applyAlignment="1">
      <alignment horizontal="center" vertical="center" wrapText="1"/>
    </xf>
    <xf numFmtId="0" fontId="40" fillId="7" borderId="21" xfId="0" applyFont="1" applyFill="1" applyBorder="1" applyAlignment="1">
      <alignment horizontal="center" vertical="center" wrapText="1"/>
    </xf>
    <xf numFmtId="0" fontId="40" fillId="7" borderId="36" xfId="0" applyFont="1" applyFill="1" applyBorder="1" applyAlignment="1">
      <alignment horizontal="center" vertical="center" wrapText="1"/>
    </xf>
    <xf numFmtId="0" fontId="40" fillId="7" borderId="24" xfId="0" applyFont="1" applyFill="1" applyBorder="1" applyAlignment="1">
      <alignment horizontal="center" vertical="center" wrapText="1"/>
    </xf>
    <xf numFmtId="0" fontId="36" fillId="8" borderId="20" xfId="0" applyFont="1" applyFill="1" applyBorder="1" applyAlignment="1">
      <alignment horizontal="center" vertical="center" wrapText="1"/>
    </xf>
    <xf numFmtId="0" fontId="36" fillId="8" borderId="37" xfId="0" applyFont="1" applyFill="1" applyBorder="1" applyAlignment="1">
      <alignment horizontal="center" vertical="center" wrapText="1"/>
    </xf>
    <xf numFmtId="0" fontId="36" fillId="8" borderId="23" xfId="0" applyFont="1" applyFill="1" applyBorder="1" applyAlignment="1">
      <alignment horizontal="center" vertical="center" wrapText="1"/>
    </xf>
    <xf numFmtId="0" fontId="36" fillId="8" borderId="21" xfId="0" applyFont="1" applyFill="1" applyBorder="1" applyAlignment="1">
      <alignment horizontal="center" vertical="center"/>
    </xf>
    <xf numFmtId="0" fontId="36" fillId="8" borderId="36" xfId="0" applyFont="1" applyFill="1" applyBorder="1" applyAlignment="1">
      <alignment horizontal="center" vertical="center"/>
    </xf>
    <xf numFmtId="0" fontId="36" fillId="8" borderId="24" xfId="0" applyFont="1" applyFill="1" applyBorder="1" applyAlignment="1">
      <alignment horizontal="center" vertical="center"/>
    </xf>
    <xf numFmtId="0" fontId="0" fillId="8" borderId="21" xfId="0" applyFill="1" applyBorder="1" applyAlignment="1">
      <alignment horizontal="center" wrapText="1"/>
    </xf>
    <xf numFmtId="0" fontId="0" fillId="8" borderId="36" xfId="0" applyFill="1" applyBorder="1" applyAlignment="1">
      <alignment horizontal="center" wrapText="1"/>
    </xf>
    <xf numFmtId="0" fontId="0" fillId="8" borderId="24" xfId="0" applyFill="1" applyBorder="1" applyAlignment="1">
      <alignment horizontal="center" wrapText="1"/>
    </xf>
    <xf numFmtId="0" fontId="0" fillId="8" borderId="55" xfId="0" applyFill="1" applyBorder="1" applyAlignment="1">
      <alignment horizontal="center" vertical="center" wrapText="1"/>
    </xf>
    <xf numFmtId="0" fontId="0" fillId="8" borderId="56" xfId="0" applyFill="1" applyBorder="1" applyAlignment="1">
      <alignment horizontal="center" vertical="center" wrapText="1"/>
    </xf>
    <xf numFmtId="0" fontId="0" fillId="8" borderId="57" xfId="0" applyFill="1" applyBorder="1" applyAlignment="1">
      <alignment horizontal="center" vertical="center" wrapText="1"/>
    </xf>
    <xf numFmtId="0" fontId="0" fillId="8" borderId="50" xfId="0" applyFill="1" applyBorder="1" applyAlignment="1">
      <alignment horizontal="center" vertical="center" wrapText="1"/>
    </xf>
    <xf numFmtId="0" fontId="0" fillId="8" borderId="51" xfId="0" applyFill="1" applyBorder="1" applyAlignment="1">
      <alignment horizontal="center" vertical="center" wrapText="1"/>
    </xf>
    <xf numFmtId="0" fontId="0" fillId="8" borderId="38" xfId="0" applyFill="1" applyBorder="1" applyAlignment="1">
      <alignment horizontal="center" vertical="center" wrapText="1"/>
    </xf>
    <xf numFmtId="0" fontId="0" fillId="8" borderId="52" xfId="0" applyFill="1" applyBorder="1" applyAlignment="1">
      <alignment horizontal="center" vertical="center" wrapText="1"/>
    </xf>
    <xf numFmtId="0" fontId="0" fillId="8" borderId="53" xfId="0" applyFill="1" applyBorder="1" applyAlignment="1">
      <alignment horizontal="center" vertical="center" wrapText="1"/>
    </xf>
    <xf numFmtId="0" fontId="0" fillId="8" borderId="54" xfId="0" applyFill="1" applyBorder="1" applyAlignment="1">
      <alignment horizontal="center" vertical="center" wrapText="1"/>
    </xf>
    <xf numFmtId="43" fontId="38" fillId="8" borderId="21" xfId="1" applyFont="1" applyFill="1" applyBorder="1" applyAlignment="1">
      <alignment horizontal="center" vertical="center" wrapText="1"/>
    </xf>
    <xf numFmtId="43" fontId="38" fillId="8" borderId="36" xfId="1" applyFont="1" applyFill="1" applyBorder="1" applyAlignment="1">
      <alignment horizontal="center" vertical="center" wrapText="1"/>
    </xf>
    <xf numFmtId="43" fontId="38" fillId="8" borderId="24" xfId="1" applyFont="1" applyFill="1" applyBorder="1" applyAlignment="1">
      <alignment horizontal="center" vertical="center" wrapText="1"/>
    </xf>
    <xf numFmtId="167" fontId="38" fillId="8" borderId="21" xfId="1" applyNumberFormat="1" applyFont="1" applyFill="1" applyBorder="1" applyAlignment="1">
      <alignment horizontal="center" vertical="center" wrapText="1"/>
    </xf>
    <xf numFmtId="167" fontId="38" fillId="8" borderId="36" xfId="1" applyNumberFormat="1" applyFont="1" applyFill="1" applyBorder="1" applyAlignment="1">
      <alignment horizontal="center" vertical="center" wrapText="1"/>
    </xf>
    <xf numFmtId="167" fontId="38" fillId="8" borderId="24" xfId="1" applyNumberFormat="1" applyFont="1" applyFill="1" applyBorder="1" applyAlignment="1">
      <alignment horizontal="center" vertical="center" wrapText="1"/>
    </xf>
    <xf numFmtId="0" fontId="36" fillId="8" borderId="21" xfId="0" applyFont="1" applyFill="1" applyBorder="1" applyAlignment="1">
      <alignment horizontal="center" vertical="center" wrapText="1"/>
    </xf>
    <xf numFmtId="0" fontId="36" fillId="8" borderId="36" xfId="0" applyFont="1" applyFill="1" applyBorder="1" applyAlignment="1">
      <alignment horizontal="center" vertical="center" wrapText="1"/>
    </xf>
    <xf numFmtId="0" fontId="36" fillId="8" borderId="24" xfId="0" applyFont="1" applyFill="1" applyBorder="1" applyAlignment="1">
      <alignment horizontal="center" vertical="center" wrapText="1"/>
    </xf>
    <xf numFmtId="0" fontId="40" fillId="8" borderId="21" xfId="0" applyFont="1" applyFill="1" applyBorder="1" applyAlignment="1">
      <alignment horizontal="center" vertical="center" wrapText="1"/>
    </xf>
    <xf numFmtId="0" fontId="40" fillId="8" borderId="36" xfId="0" applyFont="1" applyFill="1" applyBorder="1" applyAlignment="1">
      <alignment horizontal="center" vertical="center" wrapText="1"/>
    </xf>
    <xf numFmtId="0" fontId="40" fillId="8" borderId="24" xfId="0" applyFont="1" applyFill="1" applyBorder="1" applyAlignment="1">
      <alignment horizontal="center" vertical="center" wrapText="1"/>
    </xf>
    <xf numFmtId="43" fontId="38" fillId="7" borderId="21" xfId="1" applyFont="1" applyFill="1" applyBorder="1" applyAlignment="1">
      <alignment horizontal="center" vertical="center" wrapText="1"/>
    </xf>
    <xf numFmtId="43" fontId="38" fillId="7" borderId="36" xfId="1" applyFont="1" applyFill="1" applyBorder="1" applyAlignment="1">
      <alignment horizontal="center" vertical="center" wrapText="1"/>
    </xf>
    <xf numFmtId="43" fontId="38" fillId="7" borderId="24" xfId="1" applyFont="1" applyFill="1" applyBorder="1" applyAlignment="1">
      <alignment horizontal="center" vertical="center" wrapText="1"/>
    </xf>
    <xf numFmtId="0" fontId="0" fillId="7" borderId="21" xfId="0" applyFill="1" applyBorder="1" applyAlignment="1">
      <alignment horizontal="center" wrapText="1"/>
    </xf>
    <xf numFmtId="0" fontId="0" fillId="7" borderId="36" xfId="0" applyFill="1" applyBorder="1" applyAlignment="1">
      <alignment horizontal="center" wrapText="1"/>
    </xf>
    <xf numFmtId="0" fontId="0" fillId="7" borderId="24" xfId="0" applyFill="1" applyBorder="1" applyAlignment="1">
      <alignment horizontal="center" wrapText="1"/>
    </xf>
    <xf numFmtId="0" fontId="0" fillId="7" borderId="52" xfId="0" applyFill="1" applyBorder="1" applyAlignment="1">
      <alignment horizontal="center" vertical="center" wrapText="1"/>
    </xf>
    <xf numFmtId="0" fontId="0" fillId="7" borderId="53" xfId="0" applyFill="1" applyBorder="1" applyAlignment="1">
      <alignment horizontal="center" vertical="center" wrapText="1"/>
    </xf>
    <xf numFmtId="0" fontId="0" fillId="7" borderId="54" xfId="0" applyFill="1" applyBorder="1" applyAlignment="1">
      <alignment horizontal="center" vertical="center" wrapText="1"/>
    </xf>
    <xf numFmtId="0" fontId="38" fillId="10" borderId="21" xfId="0" applyFont="1" applyFill="1" applyBorder="1" applyAlignment="1">
      <alignment horizontal="center" vertical="center" wrapText="1"/>
    </xf>
    <xf numFmtId="0" fontId="38" fillId="10" borderId="36" xfId="0" applyFont="1" applyFill="1" applyBorder="1" applyAlignment="1">
      <alignment horizontal="center" vertical="center" wrapText="1"/>
    </xf>
    <xf numFmtId="0" fontId="38" fillId="10" borderId="24" xfId="0" applyFont="1" applyFill="1" applyBorder="1" applyAlignment="1">
      <alignment horizontal="center" vertical="center" wrapText="1"/>
    </xf>
    <xf numFmtId="0" fontId="0" fillId="10" borderId="21" xfId="0" applyFill="1" applyBorder="1" applyAlignment="1">
      <alignment horizontal="center" vertical="center" wrapText="1"/>
    </xf>
    <xf numFmtId="0" fontId="0" fillId="10" borderId="36" xfId="0" applyFill="1" applyBorder="1" applyAlignment="1">
      <alignment horizontal="center" vertical="center" wrapText="1"/>
    </xf>
    <xf numFmtId="0" fontId="0" fillId="10" borderId="24" xfId="0" applyFill="1" applyBorder="1" applyAlignment="1">
      <alignment horizontal="center" vertical="center" wrapText="1"/>
    </xf>
    <xf numFmtId="0" fontId="0" fillId="9" borderId="21" xfId="0" applyFill="1" applyBorder="1" applyAlignment="1">
      <alignment horizontal="center" wrapText="1"/>
    </xf>
    <xf numFmtId="0" fontId="0" fillId="9" borderId="24" xfId="0" applyFill="1" applyBorder="1" applyAlignment="1">
      <alignment horizontal="center" wrapText="1"/>
    </xf>
    <xf numFmtId="0" fontId="0" fillId="9" borderId="52" xfId="0" applyFill="1" applyBorder="1" applyAlignment="1">
      <alignment horizontal="center" vertical="center" wrapText="1"/>
    </xf>
    <xf numFmtId="0" fontId="0" fillId="9" borderId="53" xfId="0" applyFill="1" applyBorder="1" applyAlignment="1">
      <alignment horizontal="center" vertical="center" wrapText="1"/>
    </xf>
    <xf numFmtId="0" fontId="0" fillId="9" borderId="54" xfId="0" applyFill="1" applyBorder="1" applyAlignment="1">
      <alignment horizontal="center" vertical="center" wrapText="1"/>
    </xf>
    <xf numFmtId="0" fontId="36" fillId="9" borderId="21" xfId="0" applyFont="1" applyFill="1" applyBorder="1" applyAlignment="1">
      <alignment horizontal="center" vertical="center" wrapText="1"/>
    </xf>
    <xf numFmtId="0" fontId="36" fillId="9" borderId="24" xfId="0" applyFont="1" applyFill="1" applyBorder="1" applyAlignment="1">
      <alignment horizontal="center" vertical="center" wrapText="1"/>
    </xf>
    <xf numFmtId="0" fontId="40" fillId="9" borderId="21" xfId="0" applyFont="1" applyFill="1" applyBorder="1" applyAlignment="1">
      <alignment horizontal="center" vertical="center" wrapText="1"/>
    </xf>
    <xf numFmtId="0" fontId="40" fillId="9" borderId="24" xfId="0" applyFont="1" applyFill="1" applyBorder="1" applyAlignment="1">
      <alignment horizontal="center" vertical="center" wrapText="1"/>
    </xf>
    <xf numFmtId="43" fontId="38" fillId="9" borderId="21" xfId="1" applyFont="1" applyFill="1" applyBorder="1" applyAlignment="1">
      <alignment horizontal="center" vertical="center" wrapText="1"/>
    </xf>
    <xf numFmtId="43" fontId="38" fillId="9" borderId="24" xfId="1" applyFont="1" applyFill="1" applyBorder="1" applyAlignment="1">
      <alignment horizontal="center" vertical="center" wrapText="1"/>
    </xf>
    <xf numFmtId="0" fontId="36" fillId="9" borderId="20" xfId="0" applyFont="1" applyFill="1" applyBorder="1" applyAlignment="1">
      <alignment horizontal="center" vertical="center" wrapText="1"/>
    </xf>
    <xf numFmtId="0" fontId="36" fillId="9" borderId="23" xfId="0" applyFont="1" applyFill="1" applyBorder="1" applyAlignment="1">
      <alignment horizontal="center" vertical="center" wrapText="1"/>
    </xf>
    <xf numFmtId="0" fontId="36" fillId="9" borderId="21" xfId="0" applyFont="1" applyFill="1" applyBorder="1" applyAlignment="1">
      <alignment horizontal="center" vertical="center"/>
    </xf>
    <xf numFmtId="0" fontId="36" fillId="9" borderId="24" xfId="0" applyFont="1" applyFill="1" applyBorder="1" applyAlignment="1">
      <alignment horizontal="center" vertical="center"/>
    </xf>
    <xf numFmtId="0" fontId="36" fillId="10" borderId="21" xfId="0" applyFont="1" applyFill="1" applyBorder="1" applyAlignment="1">
      <alignment horizontal="center" vertical="center" wrapText="1"/>
    </xf>
    <xf numFmtId="0" fontId="36" fillId="10" borderId="36" xfId="0" applyFont="1" applyFill="1" applyBorder="1" applyAlignment="1">
      <alignment horizontal="center" vertical="center" wrapText="1"/>
    </xf>
    <xf numFmtId="0" fontId="36" fillId="10" borderId="24" xfId="0" applyFont="1" applyFill="1" applyBorder="1" applyAlignment="1">
      <alignment horizontal="center" vertical="center" wrapText="1"/>
    </xf>
    <xf numFmtId="0" fontId="37" fillId="10" borderId="21" xfId="0" applyFont="1" applyFill="1" applyBorder="1" applyAlignment="1">
      <alignment horizontal="center" vertical="center" wrapText="1"/>
    </xf>
    <xf numFmtId="0" fontId="37" fillId="10" borderId="36" xfId="0" applyFont="1" applyFill="1" applyBorder="1" applyAlignment="1">
      <alignment horizontal="center" vertical="center" wrapText="1"/>
    </xf>
    <xf numFmtId="0" fontId="37" fillId="10" borderId="24" xfId="0" applyFont="1" applyFill="1" applyBorder="1" applyAlignment="1">
      <alignment horizontal="center" vertical="center" wrapText="1"/>
    </xf>
    <xf numFmtId="0" fontId="36" fillId="10" borderId="20" xfId="0" applyFont="1" applyFill="1" applyBorder="1" applyAlignment="1">
      <alignment horizontal="center" vertical="center" wrapText="1"/>
    </xf>
    <xf numFmtId="0" fontId="36" fillId="10" borderId="37" xfId="0" applyFont="1" applyFill="1" applyBorder="1" applyAlignment="1">
      <alignment horizontal="center" vertical="center" wrapText="1"/>
    </xf>
    <xf numFmtId="0" fontId="36" fillId="10" borderId="23" xfId="0" applyFont="1" applyFill="1" applyBorder="1" applyAlignment="1">
      <alignment horizontal="center" vertical="center" wrapText="1"/>
    </xf>
    <xf numFmtId="0" fontId="36" fillId="10" borderId="21" xfId="0" applyFont="1" applyFill="1" applyBorder="1" applyAlignment="1">
      <alignment horizontal="center" vertical="center"/>
    </xf>
    <xf numFmtId="0" fontId="36" fillId="10" borderId="36" xfId="0" applyFont="1" applyFill="1" applyBorder="1" applyAlignment="1">
      <alignment horizontal="center" vertical="center"/>
    </xf>
    <xf numFmtId="0" fontId="36" fillId="10" borderId="24" xfId="0" applyFont="1" applyFill="1" applyBorder="1" applyAlignment="1">
      <alignment horizontal="center" vertical="center"/>
    </xf>
    <xf numFmtId="0" fontId="0" fillId="8" borderId="21" xfId="0" applyFill="1" applyBorder="1" applyAlignment="1">
      <alignment horizontal="center" vertical="center" wrapText="1"/>
    </xf>
    <xf numFmtId="0" fontId="0" fillId="8" borderId="24" xfId="0" applyFill="1" applyBorder="1" applyAlignment="1">
      <alignment horizontal="center" vertical="center" wrapText="1"/>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1" xfId="0" applyFill="1" applyBorder="1" applyAlignment="1">
      <alignment horizontal="center" vertical="center"/>
    </xf>
    <xf numFmtId="0" fontId="0" fillId="8" borderId="21" xfId="0" applyFill="1" applyBorder="1" applyAlignment="1">
      <alignment horizontal="center" vertical="center"/>
    </xf>
    <xf numFmtId="0" fontId="0" fillId="8" borderId="24" xfId="0" applyFill="1" applyBorder="1" applyAlignment="1">
      <alignment horizontal="center" vertical="center"/>
    </xf>
    <xf numFmtId="0" fontId="37" fillId="8" borderId="21" xfId="0" applyFont="1" applyFill="1" applyBorder="1" applyAlignment="1">
      <alignment horizontal="center" vertical="center" wrapText="1"/>
    </xf>
    <xf numFmtId="0" fontId="37" fillId="8" borderId="24" xfId="0" applyFont="1" applyFill="1" applyBorder="1" applyAlignment="1">
      <alignment horizontal="center" vertical="center" wrapText="1"/>
    </xf>
    <xf numFmtId="0" fontId="38" fillId="8" borderId="21" xfId="0" applyFont="1" applyFill="1" applyBorder="1" applyAlignment="1">
      <alignment horizontal="center" vertical="center" wrapText="1"/>
    </xf>
    <xf numFmtId="0" fontId="38" fillId="8" borderId="24" xfId="0" applyFont="1" applyFill="1" applyBorder="1" applyAlignment="1">
      <alignment horizontal="center" vertical="center" wrapText="1"/>
    </xf>
    <xf numFmtId="0" fontId="38" fillId="9" borderId="21" xfId="0" applyFont="1" applyFill="1" applyBorder="1" applyAlignment="1">
      <alignment horizontal="center" vertical="center" wrapText="1"/>
    </xf>
    <xf numFmtId="0" fontId="38" fillId="9" borderId="24" xfId="0" applyFont="1" applyFill="1" applyBorder="1" applyAlignment="1">
      <alignment horizontal="center" vertical="center" wrapText="1"/>
    </xf>
    <xf numFmtId="0" fontId="0" fillId="9" borderId="21"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39"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37" fillId="9" borderId="21" xfId="0" applyFont="1" applyFill="1" applyBorder="1" applyAlignment="1">
      <alignment horizontal="center" vertical="center" wrapText="1"/>
    </xf>
    <xf numFmtId="0" fontId="37" fillId="9" borderId="24" xfId="0" applyFont="1" applyFill="1" applyBorder="1" applyAlignment="1">
      <alignment horizontal="center" vertical="center" wrapText="1"/>
    </xf>
    <xf numFmtId="0" fontId="38" fillId="11" borderId="21" xfId="0" applyFont="1" applyFill="1" applyBorder="1" applyAlignment="1">
      <alignment horizontal="center" vertical="center" wrapText="1"/>
    </xf>
    <xf numFmtId="0" fontId="38" fillId="11" borderId="36" xfId="0" applyFont="1" applyFill="1" applyBorder="1" applyAlignment="1">
      <alignment horizontal="center" vertical="center" wrapText="1"/>
    </xf>
    <xf numFmtId="0" fontId="38" fillId="11" borderId="24" xfId="0" applyFont="1" applyFill="1" applyBorder="1" applyAlignment="1">
      <alignment horizontal="center" vertical="center" wrapText="1"/>
    </xf>
    <xf numFmtId="0" fontId="0" fillId="11" borderId="21" xfId="0" applyFill="1" applyBorder="1" applyAlignment="1">
      <alignment horizontal="center" vertical="center" wrapText="1"/>
    </xf>
    <xf numFmtId="0" fontId="0" fillId="11" borderId="36" xfId="0" applyFill="1" applyBorder="1" applyAlignment="1">
      <alignment horizontal="center" vertical="center" wrapText="1"/>
    </xf>
    <xf numFmtId="0" fontId="0" fillId="11" borderId="24" xfId="0" applyFill="1" applyBorder="1" applyAlignment="1">
      <alignment horizontal="center" vertical="center" wrapText="1"/>
    </xf>
    <xf numFmtId="0" fontId="0" fillId="11" borderId="55" xfId="0" applyFill="1" applyBorder="1" applyAlignment="1">
      <alignment horizontal="center" vertical="center" wrapText="1"/>
    </xf>
    <xf numFmtId="0" fontId="0" fillId="11" borderId="56" xfId="0" applyFill="1" applyBorder="1" applyAlignment="1">
      <alignment horizontal="center" vertical="center" wrapText="1"/>
    </xf>
    <xf numFmtId="0" fontId="0" fillId="11" borderId="57" xfId="0" applyFill="1" applyBorder="1" applyAlignment="1">
      <alignment horizontal="center" vertical="center" wrapText="1"/>
    </xf>
    <xf numFmtId="0" fontId="36" fillId="11" borderId="20" xfId="0" applyFont="1" applyFill="1" applyBorder="1" applyAlignment="1">
      <alignment horizontal="center" vertical="center" wrapText="1"/>
    </xf>
    <xf numFmtId="0" fontId="36" fillId="11" borderId="37" xfId="0" applyFont="1" applyFill="1" applyBorder="1" applyAlignment="1">
      <alignment horizontal="center" vertical="center" wrapText="1"/>
    </xf>
    <xf numFmtId="0" fontId="36" fillId="11" borderId="23" xfId="0" applyFont="1" applyFill="1" applyBorder="1" applyAlignment="1">
      <alignment horizontal="center" vertical="center" wrapText="1"/>
    </xf>
    <xf numFmtId="0" fontId="36" fillId="11" borderId="21" xfId="0" applyFont="1" applyFill="1" applyBorder="1" applyAlignment="1">
      <alignment horizontal="center" vertical="center"/>
    </xf>
    <xf numFmtId="0" fontId="36" fillId="11" borderId="36" xfId="0" applyFont="1" applyFill="1" applyBorder="1" applyAlignment="1">
      <alignment horizontal="center" vertical="center"/>
    </xf>
    <xf numFmtId="0" fontId="36" fillId="11" borderId="24" xfId="0" applyFont="1" applyFill="1" applyBorder="1" applyAlignment="1">
      <alignment horizontal="center" vertical="center"/>
    </xf>
    <xf numFmtId="0" fontId="36" fillId="11" borderId="21" xfId="0" applyFont="1" applyFill="1" applyBorder="1" applyAlignment="1">
      <alignment horizontal="center" vertical="center" wrapText="1"/>
    </xf>
    <xf numFmtId="0" fontId="36" fillId="11" borderId="36" xfId="0" applyFont="1" applyFill="1" applyBorder="1" applyAlignment="1">
      <alignment horizontal="center" vertical="center" wrapText="1"/>
    </xf>
    <xf numFmtId="0" fontId="36" fillId="11" borderId="24" xfId="0" applyFont="1" applyFill="1" applyBorder="1" applyAlignment="1">
      <alignment horizontal="center" vertical="center" wrapText="1"/>
    </xf>
    <xf numFmtId="0" fontId="0" fillId="6" borderId="55" xfId="0" applyFill="1" applyBorder="1" applyAlignment="1">
      <alignment horizontal="center" vertical="center" wrapText="1"/>
    </xf>
    <xf numFmtId="0" fontId="0" fillId="6" borderId="56" xfId="0" applyFill="1" applyBorder="1" applyAlignment="1">
      <alignment horizontal="center" vertical="center" wrapText="1"/>
    </xf>
    <xf numFmtId="0" fontId="0" fillId="6" borderId="57" xfId="0"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38" fillId="6" borderId="21" xfId="0" applyFont="1" applyFill="1" applyBorder="1" applyAlignment="1">
      <alignment horizontal="center" vertical="center" wrapText="1"/>
    </xf>
    <xf numFmtId="0" fontId="38" fillId="6" borderId="36" xfId="0" applyFont="1" applyFill="1" applyBorder="1" applyAlignment="1">
      <alignment horizontal="center" vertical="center" wrapText="1"/>
    </xf>
    <xf numFmtId="0" fontId="38" fillId="6" borderId="24" xfId="0" applyFont="1" applyFill="1" applyBorder="1" applyAlignment="1">
      <alignment horizontal="center" vertical="center" wrapText="1"/>
    </xf>
  </cellXfs>
  <cellStyles count="3">
    <cellStyle name="Comma" xfId="1" builtinId="3"/>
    <cellStyle name="Normal" xfId="0" builtinId="0"/>
    <cellStyle name="Normal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172720</xdr:colOff>
      <xdr:row>39</xdr:row>
      <xdr:rowOff>114935</xdr:rowOff>
    </xdr:to>
    <xdr:pic>
      <xdr:nvPicPr>
        <xdr:cNvPr id="4" name="Picture 3">
          <a:extLst>
            <a:ext uri="{FF2B5EF4-FFF2-40B4-BE49-F238E27FC236}">
              <a16:creationId xmlns:a16="http://schemas.microsoft.com/office/drawing/2014/main" id="{F8F3143D-BFD2-7D9F-D497-5413508EC1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659120" cy="724725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V47"/>
  <sheetViews>
    <sheetView tabSelected="1" view="pageBreakPreview" zoomScale="60" zoomScaleNormal="70" workbookViewId="0">
      <pane xSplit="4" ySplit="7" topLeftCell="E8" activePane="bottomRight" state="frozen"/>
      <selection pane="topRight" activeCell="C1" sqref="C1"/>
      <selection pane="bottomLeft" activeCell="A3" sqref="A3"/>
      <selection pane="bottomRight" activeCell="K39" sqref="K39:L39"/>
    </sheetView>
  </sheetViews>
  <sheetFormatPr defaultRowHeight="15" x14ac:dyDescent="0.25"/>
  <cols>
    <col min="1" max="1" width="5.42578125" customWidth="1"/>
    <col min="2" max="2" width="5.5703125" style="9" customWidth="1"/>
    <col min="3" max="3" width="11.28515625" style="9" customWidth="1"/>
    <col min="4" max="4" width="24.85546875" style="9" bestFit="1" customWidth="1"/>
    <col min="5" max="5" width="14.140625" style="9" bestFit="1" customWidth="1"/>
    <col min="6" max="6" width="21.42578125" style="9" customWidth="1"/>
    <col min="7" max="7" width="23.28515625" style="97" bestFit="1" customWidth="1"/>
    <col min="8" max="8" width="19.7109375" style="97" customWidth="1"/>
    <col min="9" max="9" width="19.7109375" style="9" customWidth="1"/>
    <col min="10" max="12" width="19.85546875" style="9" customWidth="1"/>
    <col min="13" max="13" width="17" style="9" bestFit="1" customWidth="1"/>
    <col min="14" max="14" width="11.85546875" style="9" customWidth="1"/>
    <col min="15" max="15" width="17.28515625" style="9" customWidth="1"/>
    <col min="16" max="16" width="21.140625" style="9" customWidth="1"/>
    <col min="17" max="17" width="14.5703125" style="9" customWidth="1"/>
    <col min="18" max="18" width="16.42578125" style="10" bestFit="1" customWidth="1"/>
    <col min="19" max="19" width="39.140625" customWidth="1"/>
    <col min="21" max="21" width="11.140625" bestFit="1" customWidth="1"/>
    <col min="22" max="22" width="15.7109375" customWidth="1"/>
  </cols>
  <sheetData>
    <row r="1" spans="2:19" x14ac:dyDescent="0.25">
      <c r="R1" s="9"/>
    </row>
    <row r="2" spans="2:19" ht="18" x14ac:dyDescent="0.25">
      <c r="B2" s="405" t="s">
        <v>88</v>
      </c>
      <c r="C2" s="405"/>
      <c r="D2" s="405"/>
      <c r="E2" s="405"/>
      <c r="F2" s="405"/>
      <c r="G2" s="405"/>
      <c r="H2" s="405"/>
      <c r="I2" s="405"/>
      <c r="J2" s="405"/>
      <c r="K2" s="405"/>
      <c r="L2" s="405"/>
      <c r="M2" s="405"/>
      <c r="N2" s="405"/>
      <c r="O2" s="405"/>
      <c r="P2" s="405"/>
      <c r="Q2" s="405"/>
      <c r="R2" s="405"/>
      <c r="S2" s="405"/>
    </row>
    <row r="3" spans="2:19" ht="18" x14ac:dyDescent="0.25">
      <c r="B3" s="405" t="s">
        <v>89</v>
      </c>
      <c r="C3" s="405"/>
      <c r="D3" s="405"/>
      <c r="E3" s="405"/>
      <c r="F3" s="405"/>
      <c r="G3" s="405"/>
      <c r="H3" s="405"/>
      <c r="I3" s="405"/>
      <c r="J3" s="405"/>
      <c r="K3" s="405"/>
      <c r="L3" s="405"/>
      <c r="M3" s="405"/>
      <c r="N3" s="405"/>
      <c r="O3" s="405"/>
      <c r="P3" s="405"/>
      <c r="Q3" s="405"/>
      <c r="R3" s="405"/>
      <c r="S3" s="405"/>
    </row>
    <row r="4" spans="2:19" ht="18" x14ac:dyDescent="0.25">
      <c r="B4" s="405" t="s">
        <v>689</v>
      </c>
      <c r="C4" s="405"/>
      <c r="D4" s="405"/>
      <c r="E4" s="405"/>
      <c r="F4" s="405"/>
      <c r="G4" s="405"/>
      <c r="H4" s="405"/>
      <c r="I4" s="405"/>
      <c r="J4" s="405"/>
      <c r="K4" s="405"/>
      <c r="L4" s="405"/>
      <c r="M4" s="405"/>
      <c r="N4" s="405"/>
      <c r="O4" s="405"/>
      <c r="P4" s="405"/>
      <c r="Q4" s="405"/>
      <c r="R4" s="405"/>
      <c r="S4" s="405"/>
    </row>
    <row r="5" spans="2:19" ht="15.75" thickBot="1" x14ac:dyDescent="0.3">
      <c r="B5" s="98"/>
      <c r="C5" s="98"/>
      <c r="D5" s="98"/>
      <c r="E5" s="98"/>
      <c r="F5" s="98"/>
      <c r="G5" s="99"/>
      <c r="H5" s="99"/>
      <c r="I5" s="98"/>
      <c r="J5" s="98"/>
      <c r="K5" s="98"/>
      <c r="L5" s="98"/>
      <c r="M5" s="98"/>
      <c r="N5" s="98"/>
      <c r="O5" s="98"/>
      <c r="P5" s="98"/>
      <c r="Q5" s="98"/>
      <c r="R5" s="98"/>
      <c r="S5" s="100"/>
    </row>
    <row r="6" spans="2:19" x14ac:dyDescent="0.25">
      <c r="B6" s="409" t="s">
        <v>0</v>
      </c>
      <c r="C6" s="413" t="s">
        <v>152</v>
      </c>
      <c r="D6" s="411" t="s">
        <v>13</v>
      </c>
      <c r="E6" s="406" t="s">
        <v>14</v>
      </c>
      <c r="F6" s="406" t="s">
        <v>15</v>
      </c>
      <c r="G6" s="406" t="s">
        <v>12</v>
      </c>
      <c r="H6" s="406" t="s">
        <v>16</v>
      </c>
      <c r="I6" s="406" t="s">
        <v>17</v>
      </c>
      <c r="J6" s="406"/>
      <c r="K6" s="406"/>
      <c r="L6" s="406"/>
      <c r="M6" s="406" t="s">
        <v>22</v>
      </c>
      <c r="N6" s="408" t="s">
        <v>690</v>
      </c>
      <c r="O6" s="408"/>
      <c r="P6" s="408"/>
      <c r="Q6" s="408"/>
      <c r="R6" s="408"/>
      <c r="S6" s="403" t="s">
        <v>90</v>
      </c>
    </row>
    <row r="7" spans="2:19" ht="50.25" customHeight="1" thickBot="1" x14ac:dyDescent="0.3">
      <c r="B7" s="410"/>
      <c r="C7" s="414"/>
      <c r="D7" s="412"/>
      <c r="E7" s="407"/>
      <c r="F7" s="407"/>
      <c r="G7" s="407"/>
      <c r="H7" s="407"/>
      <c r="I7" s="197" t="s">
        <v>18</v>
      </c>
      <c r="J7" s="197" t="s">
        <v>19</v>
      </c>
      <c r="K7" s="197" t="s">
        <v>20</v>
      </c>
      <c r="L7" s="197" t="s">
        <v>21</v>
      </c>
      <c r="M7" s="407"/>
      <c r="N7" s="197" t="s">
        <v>23</v>
      </c>
      <c r="O7" s="198" t="s">
        <v>24</v>
      </c>
      <c r="P7" s="198" t="s">
        <v>667</v>
      </c>
      <c r="Q7" s="198" t="s">
        <v>25</v>
      </c>
      <c r="R7" s="198" t="s">
        <v>668</v>
      </c>
      <c r="S7" s="404"/>
    </row>
    <row r="8" spans="2:19" ht="127.5" x14ac:dyDescent="0.25">
      <c r="B8" s="188">
        <f t="shared" ref="B8:B38" si="0">1+B7</f>
        <v>1</v>
      </c>
      <c r="C8" s="189">
        <v>1.3</v>
      </c>
      <c r="D8" s="190" t="s">
        <v>389</v>
      </c>
      <c r="E8" s="191" t="s">
        <v>47</v>
      </c>
      <c r="F8" s="191" t="s">
        <v>49</v>
      </c>
      <c r="G8" s="201" t="s">
        <v>701</v>
      </c>
      <c r="H8" s="191" t="s">
        <v>51</v>
      </c>
      <c r="I8" s="193">
        <f>P8*25%</f>
        <v>11526000</v>
      </c>
      <c r="J8" s="193">
        <f>P8*25%</f>
        <v>11526000</v>
      </c>
      <c r="K8" s="193">
        <f>P8*25%</f>
        <v>11526000</v>
      </c>
      <c r="L8" s="193">
        <f>P8*25%</f>
        <v>11526000</v>
      </c>
      <c r="M8" s="192" t="s">
        <v>52</v>
      </c>
      <c r="N8" s="191">
        <f>'Annex-A'!E18</f>
        <v>20</v>
      </c>
      <c r="O8" s="194" t="s">
        <v>54</v>
      </c>
      <c r="P8" s="195">
        <f>'Annex-A'!G18</f>
        <v>46104000</v>
      </c>
      <c r="Q8" s="195">
        <f t="shared" ref="Q8:Q38" si="1">P8/N8</f>
        <v>2305200</v>
      </c>
      <c r="R8" s="195">
        <f t="shared" ref="R8:R38" si="2">P8/285</f>
        <v>161768.42105263157</v>
      </c>
      <c r="S8" s="196"/>
    </row>
    <row r="9" spans="2:19" ht="178.5" x14ac:dyDescent="0.25">
      <c r="B9" s="64">
        <f t="shared" si="0"/>
        <v>2</v>
      </c>
      <c r="C9" s="11">
        <v>1.3</v>
      </c>
      <c r="D9" s="70" t="s">
        <v>390</v>
      </c>
      <c r="E9" s="11" t="s">
        <v>50</v>
      </c>
      <c r="F9" s="11" t="s">
        <v>49</v>
      </c>
      <c r="G9" s="200" t="s">
        <v>86</v>
      </c>
      <c r="H9" s="11" t="s">
        <v>51</v>
      </c>
      <c r="I9" s="164">
        <f>P9*25%</f>
        <v>15975000</v>
      </c>
      <c r="J9" s="164">
        <f>P9*25%</f>
        <v>15975000</v>
      </c>
      <c r="K9" s="164">
        <f>P9*25%</f>
        <v>15975000</v>
      </c>
      <c r="L9" s="164">
        <f>P9*25%</f>
        <v>15975000</v>
      </c>
      <c r="M9" s="12" t="s">
        <v>59</v>
      </c>
      <c r="N9" s="11">
        <f>'Annex-B'!B29</f>
        <v>23</v>
      </c>
      <c r="O9" s="13" t="s">
        <v>58</v>
      </c>
      <c r="P9" s="14">
        <f>74600000-P10-P11-P12-P13-P14</f>
        <v>63900000</v>
      </c>
      <c r="Q9" s="14">
        <f t="shared" si="1"/>
        <v>2778260.8695652173</v>
      </c>
      <c r="R9" s="14">
        <f t="shared" si="2"/>
        <v>224210.52631578947</v>
      </c>
      <c r="S9" s="67"/>
    </row>
    <row r="10" spans="2:19" ht="25.5" x14ac:dyDescent="0.25">
      <c r="B10" s="64">
        <f>1+B9</f>
        <v>3</v>
      </c>
      <c r="C10" s="11">
        <v>1.3</v>
      </c>
      <c r="D10" s="70" t="s">
        <v>390</v>
      </c>
      <c r="E10" s="11" t="s">
        <v>50</v>
      </c>
      <c r="F10" s="11" t="s">
        <v>391</v>
      </c>
      <c r="G10" s="11" t="s">
        <v>8</v>
      </c>
      <c r="H10" s="11" t="s">
        <v>51</v>
      </c>
      <c r="I10" s="164">
        <f>P10*25%</f>
        <v>1175000</v>
      </c>
      <c r="J10" s="164">
        <f>P10*25%</f>
        <v>1175000</v>
      </c>
      <c r="K10" s="164">
        <f>P10*25%</f>
        <v>1175000</v>
      </c>
      <c r="L10" s="164">
        <f>P10*25%</f>
        <v>1175000</v>
      </c>
      <c r="M10" s="12" t="s">
        <v>59</v>
      </c>
      <c r="N10" s="11">
        <v>12</v>
      </c>
      <c r="O10" s="13" t="s">
        <v>58</v>
      </c>
      <c r="P10" s="14">
        <f>'Annex-B'!F28</f>
        <v>4700000</v>
      </c>
      <c r="Q10" s="14">
        <f t="shared" si="1"/>
        <v>391666.66666666669</v>
      </c>
      <c r="R10" s="14">
        <f t="shared" si="2"/>
        <v>16491.228070175439</v>
      </c>
      <c r="S10" s="67"/>
    </row>
    <row r="11" spans="2:19" ht="38.25" x14ac:dyDescent="0.25">
      <c r="B11" s="64">
        <f t="shared" si="0"/>
        <v>4</v>
      </c>
      <c r="C11" s="11">
        <v>1.3</v>
      </c>
      <c r="D11" s="70" t="s">
        <v>85</v>
      </c>
      <c r="E11" s="11" t="s">
        <v>50</v>
      </c>
      <c r="F11" s="11" t="s">
        <v>83</v>
      </c>
      <c r="G11" s="11" t="s">
        <v>427</v>
      </c>
      <c r="H11" s="11" t="s">
        <v>51</v>
      </c>
      <c r="I11" s="165"/>
      <c r="J11" s="164">
        <f>P11*50%</f>
        <v>500000</v>
      </c>
      <c r="K11" s="165"/>
      <c r="L11" s="164">
        <f>P11*50%</f>
        <v>500000</v>
      </c>
      <c r="M11" s="12" t="s">
        <v>59</v>
      </c>
      <c r="N11" s="11">
        <v>3</v>
      </c>
      <c r="O11" s="13" t="s">
        <v>87</v>
      </c>
      <c r="P11" s="14">
        <f>'Annex-B'!F26</f>
        <v>1000000</v>
      </c>
      <c r="Q11" s="14">
        <f t="shared" si="1"/>
        <v>333333.33333333331</v>
      </c>
      <c r="R11" s="14">
        <f t="shared" si="2"/>
        <v>3508.7719298245615</v>
      </c>
      <c r="S11" s="68"/>
    </row>
    <row r="12" spans="2:19" ht="38.25" x14ac:dyDescent="0.25">
      <c r="B12" s="188">
        <f t="shared" si="0"/>
        <v>5</v>
      </c>
      <c r="C12" s="11">
        <v>1.3</v>
      </c>
      <c r="D12" s="70" t="s">
        <v>97</v>
      </c>
      <c r="E12" s="11" t="s">
        <v>50</v>
      </c>
      <c r="F12" s="11" t="s">
        <v>83</v>
      </c>
      <c r="G12" s="162" t="s">
        <v>97</v>
      </c>
      <c r="H12" s="11" t="s">
        <v>51</v>
      </c>
      <c r="I12" s="165"/>
      <c r="J12" s="164">
        <f>P12*100%</f>
        <v>1000000</v>
      </c>
      <c r="K12" s="165"/>
      <c r="L12" s="165"/>
      <c r="M12" s="12" t="s">
        <v>59</v>
      </c>
      <c r="N12" s="11">
        <v>3</v>
      </c>
      <c r="O12" s="163" t="s">
        <v>87</v>
      </c>
      <c r="P12" s="14">
        <f>'Annex-B'!F24</f>
        <v>1000000</v>
      </c>
      <c r="Q12" s="14">
        <f t="shared" si="1"/>
        <v>333333.33333333331</v>
      </c>
      <c r="R12" s="14">
        <f t="shared" si="2"/>
        <v>3508.7719298245615</v>
      </c>
      <c r="S12" s="68"/>
    </row>
    <row r="13" spans="2:19" ht="38.25" x14ac:dyDescent="0.25">
      <c r="B13" s="64">
        <f t="shared" si="0"/>
        <v>6</v>
      </c>
      <c r="C13" s="11">
        <v>1.3</v>
      </c>
      <c r="D13" s="70" t="s">
        <v>94</v>
      </c>
      <c r="E13" s="11" t="s">
        <v>50</v>
      </c>
      <c r="F13" s="11" t="s">
        <v>83</v>
      </c>
      <c r="G13" s="11" t="s">
        <v>98</v>
      </c>
      <c r="H13" s="11" t="s">
        <v>51</v>
      </c>
      <c r="I13" s="165"/>
      <c r="J13" s="164">
        <f>P13*100%</f>
        <v>1000000</v>
      </c>
      <c r="K13" s="165"/>
      <c r="L13" s="165"/>
      <c r="M13" s="12" t="s">
        <v>59</v>
      </c>
      <c r="N13" s="11">
        <v>3</v>
      </c>
      <c r="O13" s="13" t="s">
        <v>87</v>
      </c>
      <c r="P13" s="14">
        <f>'Annex-B'!F25</f>
        <v>1000000</v>
      </c>
      <c r="Q13" s="14">
        <f t="shared" si="1"/>
        <v>333333.33333333331</v>
      </c>
      <c r="R13" s="14">
        <f t="shared" si="2"/>
        <v>3508.7719298245615</v>
      </c>
      <c r="S13" s="68"/>
    </row>
    <row r="14" spans="2:19" ht="38.25" x14ac:dyDescent="0.25">
      <c r="B14" s="64">
        <f t="shared" si="0"/>
        <v>7</v>
      </c>
      <c r="C14" s="11">
        <v>1.3</v>
      </c>
      <c r="D14" s="70" t="s">
        <v>450</v>
      </c>
      <c r="E14" s="11" t="s">
        <v>50</v>
      </c>
      <c r="F14" s="11" t="s">
        <v>83</v>
      </c>
      <c r="G14" s="11" t="s">
        <v>451</v>
      </c>
      <c r="H14" s="11" t="s">
        <v>51</v>
      </c>
      <c r="I14" s="164">
        <f>P14*33.5%</f>
        <v>1005000.0000000001</v>
      </c>
      <c r="J14" s="164">
        <f>P14*66.5%</f>
        <v>1995000</v>
      </c>
      <c r="K14" s="165"/>
      <c r="L14" s="165"/>
      <c r="M14" s="12" t="s">
        <v>59</v>
      </c>
      <c r="N14" s="11">
        <v>3</v>
      </c>
      <c r="O14" s="13" t="s">
        <v>87</v>
      </c>
      <c r="P14" s="14">
        <v>3000000</v>
      </c>
      <c r="Q14" s="14">
        <f t="shared" si="1"/>
        <v>1000000</v>
      </c>
      <c r="R14" s="14">
        <f t="shared" si="2"/>
        <v>10526.315789473685</v>
      </c>
      <c r="S14" s="68">
        <f>380/285</f>
        <v>1.3333333333333333</v>
      </c>
    </row>
    <row r="15" spans="2:19" ht="76.5" x14ac:dyDescent="0.25">
      <c r="B15" s="64">
        <f t="shared" si="0"/>
        <v>8</v>
      </c>
      <c r="C15" s="184">
        <v>1.3</v>
      </c>
      <c r="D15" s="402" t="s">
        <v>981</v>
      </c>
      <c r="E15" s="11"/>
      <c r="F15" s="11" t="s">
        <v>982</v>
      </c>
      <c r="G15" s="11" t="s">
        <v>983</v>
      </c>
      <c r="H15" s="11" t="s">
        <v>51</v>
      </c>
      <c r="I15" s="193">
        <f>P15*15%</f>
        <v>45000000</v>
      </c>
      <c r="J15" s="193">
        <f>P15*20%</f>
        <v>60000000</v>
      </c>
      <c r="K15" s="193">
        <f>P15*20%</f>
        <v>60000000</v>
      </c>
      <c r="L15" s="193">
        <f>P15*45%</f>
        <v>135000000</v>
      </c>
      <c r="M15" s="12" t="s">
        <v>59</v>
      </c>
      <c r="N15" s="11">
        <v>12</v>
      </c>
      <c r="O15" s="13" t="s">
        <v>677</v>
      </c>
      <c r="P15" s="14">
        <v>300000000</v>
      </c>
      <c r="Q15" s="14">
        <f t="shared" si="1"/>
        <v>25000000</v>
      </c>
      <c r="R15" s="14">
        <f t="shared" si="2"/>
        <v>1052631.5789473683</v>
      </c>
      <c r="S15" s="68"/>
    </row>
    <row r="16" spans="2:19" ht="76.5" x14ac:dyDescent="0.25">
      <c r="B16" s="188">
        <f t="shared" si="0"/>
        <v>9</v>
      </c>
      <c r="C16" s="184">
        <v>1.1000000000000001</v>
      </c>
      <c r="D16" s="70" t="s">
        <v>712</v>
      </c>
      <c r="E16" s="11" t="s">
        <v>100</v>
      </c>
      <c r="F16" s="11" t="s">
        <v>676</v>
      </c>
      <c r="G16" s="11" t="s">
        <v>673</v>
      </c>
      <c r="H16" s="12" t="s">
        <v>65</v>
      </c>
      <c r="I16" s="165"/>
      <c r="J16" s="164">
        <f>P16*20%</f>
        <v>1316260000</v>
      </c>
      <c r="K16" s="164">
        <f>P16*60%</f>
        <v>3948780000</v>
      </c>
      <c r="L16" s="164">
        <f>P16*20%</f>
        <v>1316260000</v>
      </c>
      <c r="M16" s="12" t="s">
        <v>99</v>
      </c>
      <c r="N16" s="11">
        <f>12-3</f>
        <v>9</v>
      </c>
      <c r="O16" s="13" t="s">
        <v>677</v>
      </c>
      <c r="P16" s="199">
        <f>6581.3*1000000</f>
        <v>6581300000</v>
      </c>
      <c r="Q16" s="14">
        <f t="shared" si="1"/>
        <v>731255555.55555558</v>
      </c>
      <c r="R16" s="14">
        <f t="shared" si="2"/>
        <v>23092280.701754387</v>
      </c>
      <c r="S16" s="71"/>
    </row>
    <row r="17" spans="2:22" ht="51.75" x14ac:dyDescent="0.25">
      <c r="B17" s="64">
        <f t="shared" si="0"/>
        <v>10</v>
      </c>
      <c r="C17" s="184">
        <v>1.1000000000000001</v>
      </c>
      <c r="D17" s="70" t="s">
        <v>406</v>
      </c>
      <c r="E17" s="11" t="s">
        <v>100</v>
      </c>
      <c r="F17" s="11" t="s">
        <v>83</v>
      </c>
      <c r="G17" s="11" t="s">
        <v>674</v>
      </c>
      <c r="H17" s="12" t="s">
        <v>65</v>
      </c>
      <c r="I17" s="165"/>
      <c r="J17" s="164">
        <f>P17*100%</f>
        <v>1000000000</v>
      </c>
      <c r="K17" s="165"/>
      <c r="L17" s="349"/>
      <c r="M17" s="12" t="s">
        <v>66</v>
      </c>
      <c r="N17" s="11">
        <v>5</v>
      </c>
      <c r="O17" s="13" t="s">
        <v>448</v>
      </c>
      <c r="P17" s="14">
        <f>(190+810)*1000000</f>
        <v>1000000000</v>
      </c>
      <c r="Q17" s="14">
        <f t="shared" si="1"/>
        <v>200000000</v>
      </c>
      <c r="R17" s="14">
        <f t="shared" si="2"/>
        <v>3508771.9298245613</v>
      </c>
      <c r="S17" s="69" t="s">
        <v>978</v>
      </c>
      <c r="U17">
        <v>142000000</v>
      </c>
      <c r="V17">
        <f>U17/285</f>
        <v>498245.6140350877</v>
      </c>
    </row>
    <row r="18" spans="2:22" ht="51.75" x14ac:dyDescent="0.25">
      <c r="B18" s="64">
        <f t="shared" si="0"/>
        <v>11</v>
      </c>
      <c r="C18" s="184">
        <v>1.1000000000000001</v>
      </c>
      <c r="D18" s="70" t="s">
        <v>407</v>
      </c>
      <c r="E18" s="11" t="s">
        <v>100</v>
      </c>
      <c r="F18" s="11" t="s">
        <v>83</v>
      </c>
      <c r="G18" s="11" t="s">
        <v>675</v>
      </c>
      <c r="H18" s="12" t="s">
        <v>65</v>
      </c>
      <c r="I18" s="165"/>
      <c r="J18" s="164">
        <f>P18*100%</f>
        <v>400000000</v>
      </c>
      <c r="K18" s="165"/>
      <c r="L18" s="349"/>
      <c r="M18" s="12" t="s">
        <v>66</v>
      </c>
      <c r="N18" s="11">
        <v>9</v>
      </c>
      <c r="O18" s="13" t="s">
        <v>448</v>
      </c>
      <c r="P18" s="14">
        <f>(0+400)*1000000</f>
        <v>400000000</v>
      </c>
      <c r="Q18" s="14">
        <f t="shared" si="1"/>
        <v>44444444.444444448</v>
      </c>
      <c r="R18" s="14">
        <f t="shared" si="2"/>
        <v>1403508.7719298245</v>
      </c>
      <c r="S18" s="69" t="s">
        <v>974</v>
      </c>
    </row>
    <row r="19" spans="2:22" ht="90" x14ac:dyDescent="0.25">
      <c r="B19" s="64">
        <f t="shared" si="0"/>
        <v>12</v>
      </c>
      <c r="C19" s="184">
        <v>1.1000000000000001</v>
      </c>
      <c r="D19" s="70" t="s">
        <v>408</v>
      </c>
      <c r="E19" s="11" t="s">
        <v>100</v>
      </c>
      <c r="F19" s="11" t="s">
        <v>678</v>
      </c>
      <c r="G19" s="11" t="s">
        <v>428</v>
      </c>
      <c r="H19" s="12" t="s">
        <v>65</v>
      </c>
      <c r="I19" s="165"/>
      <c r="J19" s="164">
        <f>P19*33%</f>
        <v>188034000</v>
      </c>
      <c r="K19" s="164">
        <f>P19*33%</f>
        <v>188034000</v>
      </c>
      <c r="L19" s="164">
        <f>P19*34%</f>
        <v>193732000</v>
      </c>
      <c r="M19" s="12" t="s">
        <v>66</v>
      </c>
      <c r="N19" s="11">
        <v>10</v>
      </c>
      <c r="O19" s="13" t="s">
        <v>69</v>
      </c>
      <c r="P19" s="14">
        <f>(752.4-182.6)*1000000</f>
        <v>569800000</v>
      </c>
      <c r="Q19" s="14">
        <f t="shared" si="1"/>
        <v>56980000</v>
      </c>
      <c r="R19" s="14">
        <f t="shared" si="2"/>
        <v>1999298.2456140351</v>
      </c>
      <c r="S19" s="69" t="s">
        <v>975</v>
      </c>
    </row>
    <row r="20" spans="2:22" ht="38.25" x14ac:dyDescent="0.25">
      <c r="B20" s="188">
        <f t="shared" si="0"/>
        <v>13</v>
      </c>
      <c r="C20" s="184">
        <v>1.1000000000000001</v>
      </c>
      <c r="D20" s="70" t="s">
        <v>1</v>
      </c>
      <c r="E20" s="11" t="s">
        <v>100</v>
      </c>
      <c r="F20" s="11" t="s">
        <v>67</v>
      </c>
      <c r="G20" s="11" t="s">
        <v>68</v>
      </c>
      <c r="H20" s="12" t="s">
        <v>65</v>
      </c>
      <c r="I20" s="164">
        <f>P20*10%</f>
        <v>57000000</v>
      </c>
      <c r="J20" s="164">
        <f>P20*30%</f>
        <v>171000000</v>
      </c>
      <c r="K20" s="164">
        <f>P20*60%</f>
        <v>342000000</v>
      </c>
      <c r="L20" s="165"/>
      <c r="M20" s="12" t="s">
        <v>66</v>
      </c>
      <c r="N20" s="11">
        <v>10</v>
      </c>
      <c r="O20" s="13" t="s">
        <v>69</v>
      </c>
      <c r="P20" s="14">
        <f>(570*1000000)</f>
        <v>570000000</v>
      </c>
      <c r="Q20" s="14">
        <f t="shared" si="1"/>
        <v>57000000</v>
      </c>
      <c r="R20" s="14">
        <f t="shared" si="2"/>
        <v>2000000</v>
      </c>
      <c r="S20" s="69"/>
    </row>
    <row r="21" spans="2:22" ht="141" x14ac:dyDescent="0.25">
      <c r="B21" s="64">
        <f t="shared" si="0"/>
        <v>14</v>
      </c>
      <c r="C21" s="184">
        <v>1.1000000000000001</v>
      </c>
      <c r="D21" s="70" t="s">
        <v>409</v>
      </c>
      <c r="E21" s="11" t="s">
        <v>100</v>
      </c>
      <c r="F21" s="11" t="s">
        <v>676</v>
      </c>
      <c r="G21" s="11" t="s">
        <v>673</v>
      </c>
      <c r="H21" s="12" t="s">
        <v>65</v>
      </c>
      <c r="I21" s="165"/>
      <c r="J21" s="164">
        <f>P21*20%</f>
        <v>228000000.00000006</v>
      </c>
      <c r="K21" s="164">
        <f>P21*60%</f>
        <v>684000000.00000012</v>
      </c>
      <c r="L21" s="164">
        <f>P21*20%</f>
        <v>228000000.00000006</v>
      </c>
      <c r="M21" s="12" t="s">
        <v>66</v>
      </c>
      <c r="N21" s="11">
        <v>8</v>
      </c>
      <c r="O21" s="13" t="s">
        <v>677</v>
      </c>
      <c r="P21" s="14">
        <f>(2827.675-1687.675)*1000000</f>
        <v>1140000000.0000002</v>
      </c>
      <c r="Q21" s="14">
        <f t="shared" si="1"/>
        <v>142500000.00000003</v>
      </c>
      <c r="R21" s="14">
        <f t="shared" si="2"/>
        <v>4000000.0000000009</v>
      </c>
      <c r="S21" s="69" t="s">
        <v>976</v>
      </c>
    </row>
    <row r="22" spans="2:22" ht="76.5" x14ac:dyDescent="0.25">
      <c r="B22" s="64">
        <f t="shared" si="0"/>
        <v>15</v>
      </c>
      <c r="C22" s="184">
        <v>1.1000000000000001</v>
      </c>
      <c r="D22" s="70" t="s">
        <v>410</v>
      </c>
      <c r="E22" s="11" t="s">
        <v>100</v>
      </c>
      <c r="F22" s="11" t="s">
        <v>679</v>
      </c>
      <c r="G22" s="11" t="s">
        <v>680</v>
      </c>
      <c r="H22" s="12" t="s">
        <v>65</v>
      </c>
      <c r="I22" s="165"/>
      <c r="J22" s="165"/>
      <c r="K22" s="164">
        <f>P22*90%</f>
        <v>1282500000</v>
      </c>
      <c r="L22" s="164">
        <f>P22*10%</f>
        <v>142500000</v>
      </c>
      <c r="M22" s="12" t="s">
        <v>66</v>
      </c>
      <c r="N22" s="11">
        <v>8</v>
      </c>
      <c r="O22" s="13" t="s">
        <v>677</v>
      </c>
      <c r="P22" s="14">
        <f>(1068+357)*1000000</f>
        <v>1425000000</v>
      </c>
      <c r="Q22" s="14">
        <f t="shared" si="1"/>
        <v>178125000</v>
      </c>
      <c r="R22" s="14">
        <f t="shared" si="2"/>
        <v>5000000</v>
      </c>
      <c r="S22" s="69" t="s">
        <v>713</v>
      </c>
    </row>
    <row r="23" spans="2:22" ht="76.5" x14ac:dyDescent="0.25">
      <c r="B23" s="64">
        <f t="shared" si="0"/>
        <v>16</v>
      </c>
      <c r="C23" s="184">
        <v>1.1000000000000001</v>
      </c>
      <c r="D23" s="70" t="s">
        <v>411</v>
      </c>
      <c r="E23" s="11" t="s">
        <v>100</v>
      </c>
      <c r="F23" s="11" t="s">
        <v>676</v>
      </c>
      <c r="G23" s="11" t="s">
        <v>673</v>
      </c>
      <c r="H23" s="12" t="s">
        <v>51</v>
      </c>
      <c r="I23" s="164">
        <f>P23*25%</f>
        <v>142500000</v>
      </c>
      <c r="J23" s="164">
        <f>P23*25%</f>
        <v>142500000</v>
      </c>
      <c r="K23" s="164">
        <f>P23*25%</f>
        <v>142500000</v>
      </c>
      <c r="L23" s="164">
        <f>P23*25%</f>
        <v>142500000</v>
      </c>
      <c r="M23" s="12" t="s">
        <v>66</v>
      </c>
      <c r="N23" s="11">
        <v>6</v>
      </c>
      <c r="O23" s="13" t="s">
        <v>677</v>
      </c>
      <c r="P23" s="14">
        <f>(570)*1000000</f>
        <v>570000000</v>
      </c>
      <c r="Q23" s="14">
        <f t="shared" si="1"/>
        <v>95000000</v>
      </c>
      <c r="R23" s="14">
        <f t="shared" si="2"/>
        <v>2000000</v>
      </c>
      <c r="S23" s="67"/>
    </row>
    <row r="24" spans="2:22" ht="76.5" x14ac:dyDescent="0.25">
      <c r="B24" s="188">
        <f t="shared" si="0"/>
        <v>17</v>
      </c>
      <c r="C24" s="184">
        <v>1.1000000000000001</v>
      </c>
      <c r="D24" s="70" t="s">
        <v>412</v>
      </c>
      <c r="E24" s="11" t="s">
        <v>100</v>
      </c>
      <c r="F24" s="11" t="s">
        <v>679</v>
      </c>
      <c r="G24" s="11" t="s">
        <v>680</v>
      </c>
      <c r="H24" s="12" t="s">
        <v>65</v>
      </c>
      <c r="I24" s="165"/>
      <c r="J24" s="164">
        <f>P24*100%</f>
        <v>142500000</v>
      </c>
      <c r="K24" s="165"/>
      <c r="L24" s="165"/>
      <c r="M24" s="12" t="s">
        <v>66</v>
      </c>
      <c r="N24" s="11">
        <v>6</v>
      </c>
      <c r="O24" s="13" t="s">
        <v>677</v>
      </c>
      <c r="P24" s="14">
        <f>(142.5)*1000000</f>
        <v>142500000</v>
      </c>
      <c r="Q24" s="14">
        <f t="shared" si="1"/>
        <v>23750000</v>
      </c>
      <c r="R24" s="14">
        <f t="shared" si="2"/>
        <v>500000</v>
      </c>
      <c r="S24" s="67"/>
    </row>
    <row r="25" spans="2:22" ht="76.5" x14ac:dyDescent="0.25">
      <c r="B25" s="64">
        <f t="shared" si="0"/>
        <v>18</v>
      </c>
      <c r="C25" s="184">
        <v>1.1000000000000001</v>
      </c>
      <c r="D25" s="70" t="s">
        <v>413</v>
      </c>
      <c r="E25" s="11" t="s">
        <v>100</v>
      </c>
      <c r="F25" s="11" t="s">
        <v>679</v>
      </c>
      <c r="G25" s="11" t="s">
        <v>681</v>
      </c>
      <c r="H25" s="12" t="s">
        <v>65</v>
      </c>
      <c r="I25" s="164">
        <f>P25*100%</f>
        <v>1425000000</v>
      </c>
      <c r="J25" s="349"/>
      <c r="K25" s="165"/>
      <c r="L25" s="165"/>
      <c r="M25" s="12" t="s">
        <v>66</v>
      </c>
      <c r="N25" s="11">
        <v>6</v>
      </c>
      <c r="O25" s="13" t="s">
        <v>677</v>
      </c>
      <c r="P25" s="14">
        <f>(1246.875+178.125)*1000000</f>
        <v>1425000000</v>
      </c>
      <c r="Q25" s="14">
        <f t="shared" si="1"/>
        <v>237500000</v>
      </c>
      <c r="R25" s="14">
        <f t="shared" si="2"/>
        <v>5000000</v>
      </c>
      <c r="S25" s="69" t="s">
        <v>714</v>
      </c>
    </row>
    <row r="26" spans="2:22" ht="77.25" x14ac:dyDescent="0.25">
      <c r="B26" s="64">
        <f t="shared" si="0"/>
        <v>19</v>
      </c>
      <c r="C26" s="184">
        <v>1.1000000000000001</v>
      </c>
      <c r="D26" s="70" t="s">
        <v>2</v>
      </c>
      <c r="E26" s="11" t="s">
        <v>100</v>
      </c>
      <c r="F26" s="11" t="s">
        <v>67</v>
      </c>
      <c r="G26" s="11" t="s">
        <v>68</v>
      </c>
      <c r="H26" s="12" t="s">
        <v>65</v>
      </c>
      <c r="I26" s="165"/>
      <c r="J26" s="164">
        <f>P26</f>
        <v>570000000</v>
      </c>
      <c r="K26" s="165"/>
      <c r="L26" s="349"/>
      <c r="M26" s="12" t="s">
        <v>66</v>
      </c>
      <c r="N26" s="11">
        <v>6</v>
      </c>
      <c r="O26" s="13" t="s">
        <v>69</v>
      </c>
      <c r="P26" s="14">
        <f>(855-285)*1000000</f>
        <v>570000000</v>
      </c>
      <c r="Q26" s="14">
        <f t="shared" si="1"/>
        <v>95000000</v>
      </c>
      <c r="R26" s="14">
        <f t="shared" si="2"/>
        <v>2000000</v>
      </c>
      <c r="S26" s="69" t="s">
        <v>715</v>
      </c>
    </row>
    <row r="27" spans="2:22" ht="39" x14ac:dyDescent="0.25">
      <c r="B27" s="64">
        <f t="shared" si="0"/>
        <v>20</v>
      </c>
      <c r="C27" s="184">
        <v>1.1000000000000001</v>
      </c>
      <c r="D27" s="70" t="s">
        <v>414</v>
      </c>
      <c r="E27" s="11" t="s">
        <v>100</v>
      </c>
      <c r="F27" s="91" t="s">
        <v>63</v>
      </c>
      <c r="G27" s="11" t="s">
        <v>682</v>
      </c>
      <c r="H27" s="12" t="s">
        <v>65</v>
      </c>
      <c r="I27" s="164">
        <f>P27*18%</f>
        <v>117000000</v>
      </c>
      <c r="J27" s="164">
        <f>P27*27%</f>
        <v>175500000</v>
      </c>
      <c r="K27" s="164">
        <f>P27*27%</f>
        <v>175500000</v>
      </c>
      <c r="L27" s="164">
        <f>P27*28%</f>
        <v>182000000.00000003</v>
      </c>
      <c r="M27" s="12" t="s">
        <v>66</v>
      </c>
      <c r="N27" s="11">
        <v>10</v>
      </c>
      <c r="O27" s="13" t="s">
        <v>69</v>
      </c>
      <c r="P27" s="14">
        <f>(427.5+222.5)*1000000</f>
        <v>650000000</v>
      </c>
      <c r="Q27" s="14">
        <f t="shared" si="1"/>
        <v>65000000</v>
      </c>
      <c r="R27" s="14">
        <f t="shared" si="2"/>
        <v>2280701.7543859649</v>
      </c>
      <c r="S27" s="69" t="s">
        <v>716</v>
      </c>
    </row>
    <row r="28" spans="2:22" ht="115.5" x14ac:dyDescent="0.25">
      <c r="B28" s="188">
        <f t="shared" si="0"/>
        <v>21</v>
      </c>
      <c r="C28" s="184">
        <v>1.1000000000000001</v>
      </c>
      <c r="D28" s="70" t="s">
        <v>415</v>
      </c>
      <c r="E28" s="11" t="s">
        <v>100</v>
      </c>
      <c r="F28" s="11" t="s">
        <v>67</v>
      </c>
      <c r="G28" s="11" t="s">
        <v>68</v>
      </c>
      <c r="H28" s="12" t="s">
        <v>51</v>
      </c>
      <c r="I28" s="164">
        <f>P28*25%</f>
        <v>100000000</v>
      </c>
      <c r="J28" s="164">
        <f>P28*25%</f>
        <v>100000000</v>
      </c>
      <c r="K28" s="164">
        <f>P28*25%</f>
        <v>100000000</v>
      </c>
      <c r="L28" s="164">
        <f>P28*25%</f>
        <v>100000000</v>
      </c>
      <c r="M28" s="12" t="s">
        <v>424</v>
      </c>
      <c r="N28" s="11">
        <v>12</v>
      </c>
      <c r="O28" s="13" t="s">
        <v>69</v>
      </c>
      <c r="P28" s="14">
        <f>(350+50)*1000000</f>
        <v>400000000</v>
      </c>
      <c r="Q28" s="14">
        <f t="shared" si="1"/>
        <v>33333333.333333332</v>
      </c>
      <c r="R28" s="14">
        <f t="shared" si="2"/>
        <v>1403508.7719298245</v>
      </c>
      <c r="S28" s="69" t="s">
        <v>977</v>
      </c>
    </row>
    <row r="29" spans="2:22" ht="63.75" customHeight="1" x14ac:dyDescent="0.25">
      <c r="B29" s="64">
        <f t="shared" si="0"/>
        <v>22</v>
      </c>
      <c r="C29" s="184">
        <v>1.1000000000000001</v>
      </c>
      <c r="D29" s="70" t="s">
        <v>416</v>
      </c>
      <c r="E29" s="11" t="s">
        <v>100</v>
      </c>
      <c r="F29" s="11" t="s">
        <v>683</v>
      </c>
      <c r="G29" s="11" t="s">
        <v>684</v>
      </c>
      <c r="H29" s="12" t="s">
        <v>65</v>
      </c>
      <c r="I29" s="165"/>
      <c r="J29" s="164">
        <f>P29*70%</f>
        <v>244999999.99999997</v>
      </c>
      <c r="K29" s="164">
        <f>P29*30%</f>
        <v>105000000</v>
      </c>
      <c r="L29" s="165"/>
      <c r="M29" s="12" t="s">
        <v>66</v>
      </c>
      <c r="N29" s="11">
        <v>12</v>
      </c>
      <c r="O29" s="13" t="s">
        <v>69</v>
      </c>
      <c r="P29" s="14">
        <f>(0+350)*1000000</f>
        <v>350000000</v>
      </c>
      <c r="Q29" s="14">
        <f t="shared" si="1"/>
        <v>29166666.666666668</v>
      </c>
      <c r="R29" s="14">
        <f t="shared" si="2"/>
        <v>1228070.1754385964</v>
      </c>
      <c r="S29" s="69" t="s">
        <v>717</v>
      </c>
    </row>
    <row r="30" spans="2:22" ht="38.25" x14ac:dyDescent="0.25">
      <c r="B30" s="64">
        <f t="shared" si="0"/>
        <v>23</v>
      </c>
      <c r="C30" s="184">
        <v>1.2</v>
      </c>
      <c r="D30" s="70" t="s">
        <v>417</v>
      </c>
      <c r="E30" s="11" t="s">
        <v>100</v>
      </c>
      <c r="F30" s="11" t="s">
        <v>67</v>
      </c>
      <c r="G30" s="11" t="s">
        <v>429</v>
      </c>
      <c r="H30" s="12" t="s">
        <v>65</v>
      </c>
      <c r="I30" s="165"/>
      <c r="J30" s="165"/>
      <c r="K30" s="164">
        <f>P30*100%</f>
        <v>570000000</v>
      </c>
      <c r="L30" s="165"/>
      <c r="M30" s="12" t="s">
        <v>425</v>
      </c>
      <c r="N30" s="11">
        <v>12</v>
      </c>
      <c r="O30" s="13" t="s">
        <v>69</v>
      </c>
      <c r="P30" s="14">
        <f>(570)*1000000</f>
        <v>570000000</v>
      </c>
      <c r="Q30" s="14">
        <f t="shared" si="1"/>
        <v>47500000</v>
      </c>
      <c r="R30" s="14">
        <f t="shared" si="2"/>
        <v>2000000</v>
      </c>
      <c r="S30" s="69"/>
    </row>
    <row r="31" spans="2:22" ht="76.5" x14ac:dyDescent="0.25">
      <c r="B31" s="64">
        <f t="shared" si="0"/>
        <v>24</v>
      </c>
      <c r="C31" s="184">
        <v>1.3</v>
      </c>
      <c r="D31" s="70" t="s">
        <v>3</v>
      </c>
      <c r="E31" s="11" t="s">
        <v>100</v>
      </c>
      <c r="F31" s="11" t="s">
        <v>679</v>
      </c>
      <c r="G31" s="11" t="s">
        <v>680</v>
      </c>
      <c r="H31" s="12" t="s">
        <v>65</v>
      </c>
      <c r="I31" s="164">
        <f>P31*12%</f>
        <v>68400000</v>
      </c>
      <c r="J31" s="164">
        <f>P31*38%</f>
        <v>216600000</v>
      </c>
      <c r="K31" s="164">
        <f>P31*50%</f>
        <v>285000000</v>
      </c>
      <c r="L31" s="165"/>
      <c r="M31" s="12" t="s">
        <v>66</v>
      </c>
      <c r="N31" s="11">
        <v>12</v>
      </c>
      <c r="O31" s="13" t="s">
        <v>677</v>
      </c>
      <c r="P31" s="14">
        <v>570000000</v>
      </c>
      <c r="Q31" s="14">
        <f t="shared" si="1"/>
        <v>47500000</v>
      </c>
      <c r="R31" s="14">
        <f t="shared" si="2"/>
        <v>2000000</v>
      </c>
      <c r="S31" s="67"/>
    </row>
    <row r="32" spans="2:22" ht="63.75" x14ac:dyDescent="0.25">
      <c r="B32" s="188">
        <f t="shared" si="0"/>
        <v>25</v>
      </c>
      <c r="C32" s="184">
        <v>1.3</v>
      </c>
      <c r="D32" s="70" t="s">
        <v>418</v>
      </c>
      <c r="E32" s="11" t="s">
        <v>100</v>
      </c>
      <c r="F32" s="11" t="s">
        <v>67</v>
      </c>
      <c r="G32" s="11" t="s">
        <v>68</v>
      </c>
      <c r="H32" s="12" t="s">
        <v>65</v>
      </c>
      <c r="I32" s="164">
        <f>P32*30%</f>
        <v>5112900</v>
      </c>
      <c r="J32" s="164">
        <f>P32*20%</f>
        <v>3408600</v>
      </c>
      <c r="K32" s="164">
        <f>P32*50%</f>
        <v>8521500</v>
      </c>
      <c r="L32" s="165"/>
      <c r="M32" s="12" t="s">
        <v>71</v>
      </c>
      <c r="N32" s="11">
        <v>12</v>
      </c>
      <c r="O32" s="13" t="s">
        <v>69</v>
      </c>
      <c r="P32" s="14">
        <f>85215000*20%</f>
        <v>17043000</v>
      </c>
      <c r="Q32" s="14">
        <f t="shared" si="1"/>
        <v>1420250</v>
      </c>
      <c r="R32" s="14">
        <f t="shared" si="2"/>
        <v>59800</v>
      </c>
      <c r="S32" s="67"/>
    </row>
    <row r="33" spans="2:19" ht="38.25" x14ac:dyDescent="0.25">
      <c r="B33" s="64">
        <f t="shared" si="0"/>
        <v>26</v>
      </c>
      <c r="C33" s="184">
        <v>1.3</v>
      </c>
      <c r="D33" s="70" t="s">
        <v>979</v>
      </c>
      <c r="E33" s="11" t="s">
        <v>100</v>
      </c>
      <c r="F33" s="11" t="s">
        <v>67</v>
      </c>
      <c r="G33" s="11" t="s">
        <v>68</v>
      </c>
      <c r="H33" s="12" t="s">
        <v>65</v>
      </c>
      <c r="I33" s="164">
        <f>P33*30%</f>
        <v>23856000</v>
      </c>
      <c r="J33" s="164">
        <f>P33*20%</f>
        <v>15904000</v>
      </c>
      <c r="K33" s="164">
        <f>P33*50%</f>
        <v>39760000</v>
      </c>
      <c r="L33" s="165"/>
      <c r="M33" s="12" t="s">
        <v>71</v>
      </c>
      <c r="N33" s="11">
        <v>13</v>
      </c>
      <c r="O33" s="13" t="s">
        <v>69</v>
      </c>
      <c r="P33" s="14">
        <f>(79.52*1000000)</f>
        <v>79520000</v>
      </c>
      <c r="Q33" s="14">
        <f t="shared" ref="Q33" si="3">P33/N33</f>
        <v>6116923.076923077</v>
      </c>
      <c r="R33" s="14">
        <f t="shared" ref="R33" si="4">P33/285</f>
        <v>279017.5438596491</v>
      </c>
      <c r="S33" s="67"/>
    </row>
    <row r="34" spans="2:19" ht="51.75" x14ac:dyDescent="0.25">
      <c r="B34" s="64">
        <f t="shared" si="0"/>
        <v>27</v>
      </c>
      <c r="C34" s="184">
        <v>1.3</v>
      </c>
      <c r="D34" s="70" t="s">
        <v>419</v>
      </c>
      <c r="E34" s="11" t="s">
        <v>166</v>
      </c>
      <c r="F34" s="11" t="s">
        <v>67</v>
      </c>
      <c r="G34" s="11" t="s">
        <v>430</v>
      </c>
      <c r="H34" s="12" t="s">
        <v>65</v>
      </c>
      <c r="I34" s="164">
        <f>P34*25%</f>
        <v>16038364.125</v>
      </c>
      <c r="J34" s="164">
        <f>P34*25%</f>
        <v>16038364.125</v>
      </c>
      <c r="K34" s="164">
        <f>P34*25%</f>
        <v>16038364.125</v>
      </c>
      <c r="L34" s="164">
        <f>P34*25%</f>
        <v>16038364.125</v>
      </c>
      <c r="M34" s="12" t="s">
        <v>59</v>
      </c>
      <c r="N34" s="11">
        <v>15</v>
      </c>
      <c r="O34" s="13" t="s">
        <v>69</v>
      </c>
      <c r="P34" s="14">
        <f>'Annex-D'!F16</f>
        <v>64153456.5</v>
      </c>
      <c r="Q34" s="14">
        <f>P34/N34</f>
        <v>4276897.0999999996</v>
      </c>
      <c r="R34" s="14">
        <f>P34/285</f>
        <v>225099.84736842106</v>
      </c>
      <c r="S34" s="69" t="s">
        <v>671</v>
      </c>
    </row>
    <row r="35" spans="2:19" ht="38.25" x14ac:dyDescent="0.25">
      <c r="B35" s="64">
        <f t="shared" si="0"/>
        <v>28</v>
      </c>
      <c r="C35" s="184">
        <v>3.1</v>
      </c>
      <c r="D35" s="70" t="s">
        <v>420</v>
      </c>
      <c r="E35" s="11" t="s">
        <v>100</v>
      </c>
      <c r="F35" s="91" t="s">
        <v>426</v>
      </c>
      <c r="G35" s="11" t="s">
        <v>684</v>
      </c>
      <c r="H35" s="12" t="s">
        <v>65</v>
      </c>
      <c r="I35" s="164">
        <f>P35*30%</f>
        <v>30012000</v>
      </c>
      <c r="J35" s="164">
        <f>P35*20%</f>
        <v>20008000</v>
      </c>
      <c r="K35" s="164">
        <f>P35*25%</f>
        <v>25010000</v>
      </c>
      <c r="L35" s="164">
        <f>P35*25%</f>
        <v>25010000</v>
      </c>
      <c r="M35" s="12" t="s">
        <v>66</v>
      </c>
      <c r="N35" s="11">
        <v>10</v>
      </c>
      <c r="O35" s="13" t="s">
        <v>69</v>
      </c>
      <c r="P35" s="14">
        <f>(1.04+99)*1000000</f>
        <v>100040000</v>
      </c>
      <c r="Q35" s="14">
        <f t="shared" si="1"/>
        <v>10004000</v>
      </c>
      <c r="R35" s="14">
        <f t="shared" si="2"/>
        <v>351017.5438596491</v>
      </c>
      <c r="S35" s="67"/>
    </row>
    <row r="36" spans="2:19" ht="51.75" x14ac:dyDescent="0.25">
      <c r="B36" s="188">
        <f t="shared" si="0"/>
        <v>29</v>
      </c>
      <c r="C36" s="184">
        <v>4.0999999999999996</v>
      </c>
      <c r="D36" s="70" t="s">
        <v>421</v>
      </c>
      <c r="E36" s="11" t="s">
        <v>645</v>
      </c>
      <c r="F36" s="91" t="s">
        <v>70</v>
      </c>
      <c r="G36" s="11" t="s">
        <v>685</v>
      </c>
      <c r="H36" s="12" t="s">
        <v>686</v>
      </c>
      <c r="I36" s="165"/>
      <c r="J36" s="164">
        <f>P36*20%</f>
        <v>456000000</v>
      </c>
      <c r="K36" s="164">
        <f>P36*30%</f>
        <v>684000000</v>
      </c>
      <c r="L36" s="164">
        <f>P36*50%</f>
        <v>1140000000</v>
      </c>
      <c r="M36" s="12" t="s">
        <v>66</v>
      </c>
      <c r="N36" s="11">
        <v>10</v>
      </c>
      <c r="O36" s="13" t="s">
        <v>69</v>
      </c>
      <c r="P36" s="14">
        <f>(2280)*1000000</f>
        <v>2280000000</v>
      </c>
      <c r="Q36" s="14">
        <f t="shared" si="1"/>
        <v>228000000</v>
      </c>
      <c r="R36" s="14">
        <f t="shared" si="2"/>
        <v>8000000</v>
      </c>
      <c r="S36" s="69" t="s">
        <v>672</v>
      </c>
    </row>
    <row r="37" spans="2:19" ht="38.25" x14ac:dyDescent="0.25">
      <c r="B37" s="64">
        <f t="shared" si="0"/>
        <v>30</v>
      </c>
      <c r="C37" s="184">
        <v>4.2</v>
      </c>
      <c r="D37" s="70" t="s">
        <v>422</v>
      </c>
      <c r="E37" s="11" t="s">
        <v>645</v>
      </c>
      <c r="F37" s="11" t="s">
        <v>83</v>
      </c>
      <c r="G37" s="11" t="s">
        <v>687</v>
      </c>
      <c r="H37" s="12" t="s">
        <v>686</v>
      </c>
      <c r="I37" s="165"/>
      <c r="J37" s="165"/>
      <c r="K37" s="164">
        <f>P37*40%</f>
        <v>228000000</v>
      </c>
      <c r="L37" s="164">
        <f>P37*60%</f>
        <v>342000000</v>
      </c>
      <c r="M37" s="12" t="s">
        <v>66</v>
      </c>
      <c r="N37" s="11">
        <v>10</v>
      </c>
      <c r="O37" s="13" t="s">
        <v>87</v>
      </c>
      <c r="P37" s="14">
        <f>(570)*1000000</f>
        <v>570000000</v>
      </c>
      <c r="Q37" s="14">
        <f t="shared" si="1"/>
        <v>57000000</v>
      </c>
      <c r="R37" s="14">
        <f t="shared" si="2"/>
        <v>2000000</v>
      </c>
      <c r="S37" s="67"/>
    </row>
    <row r="38" spans="2:19" ht="39" thickBot="1" x14ac:dyDescent="0.3">
      <c r="B38" s="64">
        <f t="shared" si="0"/>
        <v>31</v>
      </c>
      <c r="C38" s="185">
        <v>4.3</v>
      </c>
      <c r="D38" s="166" t="s">
        <v>423</v>
      </c>
      <c r="E38" s="167" t="s">
        <v>645</v>
      </c>
      <c r="F38" s="167" t="s">
        <v>67</v>
      </c>
      <c r="G38" s="167" t="s">
        <v>688</v>
      </c>
      <c r="H38" s="12" t="s">
        <v>686</v>
      </c>
      <c r="I38" s="169">
        <f>P38*25%</f>
        <v>4275000</v>
      </c>
      <c r="J38" s="169">
        <f>P38*25%</f>
        <v>4275000</v>
      </c>
      <c r="K38" s="169">
        <f>P38*25%</f>
        <v>4275000</v>
      </c>
      <c r="L38" s="169">
        <f>P38*25%</f>
        <v>4275000</v>
      </c>
      <c r="M38" s="168" t="s">
        <v>59</v>
      </c>
      <c r="N38" s="167">
        <v>12</v>
      </c>
      <c r="O38" s="170" t="s">
        <v>69</v>
      </c>
      <c r="P38" s="171">
        <f>(7.69+9.41)*1000000</f>
        <v>17100000</v>
      </c>
      <c r="Q38" s="171">
        <f t="shared" si="1"/>
        <v>1425000</v>
      </c>
      <c r="R38" s="171">
        <f t="shared" si="2"/>
        <v>60000</v>
      </c>
      <c r="S38" s="172"/>
    </row>
    <row r="39" spans="2:19" ht="32.450000000000003" customHeight="1" thickBot="1" x14ac:dyDescent="0.35">
      <c r="B39" s="173"/>
      <c r="C39" s="186"/>
      <c r="D39" s="175" t="s">
        <v>669</v>
      </c>
      <c r="E39" s="175"/>
      <c r="F39" s="175"/>
      <c r="G39" s="355"/>
      <c r="H39" s="176"/>
      <c r="I39" s="177">
        <f>SUM(I8:I38)</f>
        <v>2063875264.125</v>
      </c>
      <c r="J39" s="177">
        <f t="shared" ref="J39:L39" si="5">SUM(J8:J38)</f>
        <v>5504198964.125</v>
      </c>
      <c r="K39" s="177">
        <f t="shared" si="5"/>
        <v>8917594864.125</v>
      </c>
      <c r="L39" s="177">
        <f t="shared" si="5"/>
        <v>3996491364.125</v>
      </c>
      <c r="M39" s="175"/>
      <c r="N39" s="175"/>
      <c r="O39" s="175"/>
      <c r="P39" s="178">
        <f>SUM(P8:P38)</f>
        <v>20482160456.5</v>
      </c>
      <c r="Q39" s="178"/>
      <c r="R39" s="178">
        <f>SUM(R8:R38)</f>
        <v>71867229.671929806</v>
      </c>
      <c r="S39" s="179"/>
    </row>
    <row r="40" spans="2:19" ht="32.450000000000003" customHeight="1" thickBot="1" x14ac:dyDescent="0.35">
      <c r="B40" s="174"/>
      <c r="C40" s="187"/>
      <c r="D40" s="175" t="s">
        <v>670</v>
      </c>
      <c r="E40" s="180"/>
      <c r="F40" s="180"/>
      <c r="G40" s="181"/>
      <c r="H40" s="181"/>
      <c r="I40" s="177">
        <f>I39/285</f>
        <v>7241667.5934210522</v>
      </c>
      <c r="J40" s="177">
        <f>J39/285</f>
        <v>19312978.821491227</v>
      </c>
      <c r="K40" s="177">
        <f>K39/285</f>
        <v>31289806.540789474</v>
      </c>
      <c r="L40" s="177">
        <f>L39/285</f>
        <v>14022776.71622807</v>
      </c>
      <c r="M40" s="180"/>
      <c r="N40" s="180"/>
      <c r="O40" s="180"/>
      <c r="P40" s="180"/>
      <c r="Q40" s="180"/>
      <c r="R40" s="182"/>
      <c r="S40" s="183"/>
    </row>
    <row r="43" spans="2:19" x14ac:dyDescent="0.25">
      <c r="P43" s="9">
        <v>85</v>
      </c>
    </row>
    <row r="44" spans="2:19" x14ac:dyDescent="0.25">
      <c r="P44" s="9">
        <v>10</v>
      </c>
    </row>
    <row r="45" spans="2:19" x14ac:dyDescent="0.25">
      <c r="P45" s="9">
        <v>7</v>
      </c>
    </row>
    <row r="46" spans="2:19" x14ac:dyDescent="0.25">
      <c r="P46" s="9">
        <v>3</v>
      </c>
    </row>
    <row r="47" spans="2:19" x14ac:dyDescent="0.25">
      <c r="P47" s="9">
        <v>71.8</v>
      </c>
    </row>
  </sheetData>
  <autoFilter ref="B6:R40" xr:uid="{00000000-0009-0000-0000-000000000000}">
    <filterColumn colId="7" showButton="0"/>
    <filterColumn colId="8" showButton="0"/>
    <filterColumn colId="9" showButton="0"/>
    <filterColumn colId="12" showButton="0"/>
    <filterColumn colId="13" showButton="0"/>
    <filterColumn colId="14" showButton="0"/>
    <filterColumn colId="15" showButton="0"/>
    <sortState xmlns:xlrd2="http://schemas.microsoft.com/office/spreadsheetml/2017/richdata2" ref="B9:R40">
      <sortCondition ref="E6:E40"/>
    </sortState>
  </autoFilter>
  <mergeCells count="14">
    <mergeCell ref="S6:S7"/>
    <mergeCell ref="B2:S2"/>
    <mergeCell ref="B3:S3"/>
    <mergeCell ref="B4:S4"/>
    <mergeCell ref="E6:E7"/>
    <mergeCell ref="F6:F7"/>
    <mergeCell ref="G6:G7"/>
    <mergeCell ref="H6:H7"/>
    <mergeCell ref="I6:L6"/>
    <mergeCell ref="M6:M7"/>
    <mergeCell ref="N6:R6"/>
    <mergeCell ref="B6:B7"/>
    <mergeCell ref="D6:D7"/>
    <mergeCell ref="C6:C7"/>
  </mergeCells>
  <printOptions horizontalCentered="1"/>
  <pageMargins left="0.98425196850393704" right="0.98425196850393704" top="0.98425196850393704" bottom="1.3779527559055118" header="0.51181102362204722" footer="0.51181102362204722"/>
  <pageSetup paperSize="5" scale="51" fitToHeight="0" orientation="landscape" verticalDpi="4294967295" r:id="rId1"/>
  <rowBreaks count="1" manualBreakCount="1">
    <brk id="20" min="1"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V67"/>
  <sheetViews>
    <sheetView zoomScale="70" zoomScaleNormal="70" workbookViewId="0">
      <selection activeCell="B11" sqref="B11"/>
    </sheetView>
  </sheetViews>
  <sheetFormatPr defaultRowHeight="15" x14ac:dyDescent="0.25"/>
  <cols>
    <col min="1" max="1" width="39" customWidth="1"/>
    <col min="2" max="2" width="10.42578125" customWidth="1"/>
    <col min="3" max="3" width="17" customWidth="1"/>
    <col min="4" max="4" width="15.42578125" customWidth="1"/>
    <col min="5" max="5" width="14.85546875" customWidth="1"/>
    <col min="6" max="6" width="16.7109375" customWidth="1"/>
    <col min="7" max="7" width="16.28515625" customWidth="1"/>
    <col min="8" max="8" width="15.85546875" customWidth="1"/>
    <col min="9" max="9" width="15.5703125" customWidth="1"/>
    <col min="10" max="10" width="17.42578125" customWidth="1"/>
    <col min="11" max="11" width="15.28515625" customWidth="1"/>
    <col min="12" max="12" width="17.42578125" customWidth="1"/>
    <col min="13" max="13" width="52.140625" customWidth="1"/>
    <col min="14" max="14" width="27" style="348" customWidth="1"/>
    <col min="15" max="17" width="16.85546875" customWidth="1"/>
    <col min="18" max="18" width="22.28515625" customWidth="1"/>
    <col min="19" max="19" width="17.85546875" customWidth="1"/>
    <col min="20" max="20" width="19.7109375" customWidth="1"/>
    <col min="21" max="21" width="23.28515625" customWidth="1"/>
    <col min="22" max="22" width="59.7109375" style="59" customWidth="1"/>
  </cols>
  <sheetData>
    <row r="1" spans="1:22" x14ac:dyDescent="0.25">
      <c r="N1"/>
      <c r="V1"/>
    </row>
    <row r="2" spans="1:22" ht="18.75" x14ac:dyDescent="0.3">
      <c r="A2" s="473" t="s">
        <v>718</v>
      </c>
      <c r="B2" s="476" t="s">
        <v>719</v>
      </c>
      <c r="C2" s="476"/>
      <c r="D2" s="476"/>
      <c r="E2" s="476"/>
      <c r="F2" s="476"/>
      <c r="G2" s="476"/>
      <c r="H2" s="476"/>
      <c r="I2" s="476"/>
      <c r="J2" s="476"/>
      <c r="K2" s="476"/>
      <c r="L2" s="477" t="s">
        <v>720</v>
      </c>
      <c r="M2" s="478" t="s">
        <v>721</v>
      </c>
      <c r="N2" s="481" t="s">
        <v>722</v>
      </c>
      <c r="O2" s="482"/>
      <c r="P2" s="482"/>
      <c r="Q2" s="482"/>
      <c r="R2" s="482"/>
      <c r="S2" s="482"/>
      <c r="T2" s="482"/>
      <c r="U2" s="482"/>
      <c r="V2" s="483"/>
    </row>
    <row r="3" spans="1:22" x14ac:dyDescent="0.25">
      <c r="A3" s="474"/>
      <c r="B3" s="490" t="s">
        <v>723</v>
      </c>
      <c r="C3" s="490"/>
      <c r="D3" s="490" t="s">
        <v>724</v>
      </c>
      <c r="E3" s="490"/>
      <c r="F3" s="490"/>
      <c r="G3" s="490"/>
      <c r="H3" s="490"/>
      <c r="I3" s="490"/>
      <c r="J3" s="490"/>
      <c r="K3" s="490" t="s">
        <v>725</v>
      </c>
      <c r="L3" s="477"/>
      <c r="M3" s="479"/>
      <c r="N3" s="484"/>
      <c r="O3" s="485"/>
      <c r="P3" s="485"/>
      <c r="Q3" s="485"/>
      <c r="R3" s="485"/>
      <c r="S3" s="485"/>
      <c r="T3" s="485"/>
      <c r="U3" s="485"/>
      <c r="V3" s="486"/>
    </row>
    <row r="4" spans="1:22" x14ac:dyDescent="0.25">
      <c r="A4" s="474"/>
      <c r="B4" s="490"/>
      <c r="C4" s="490"/>
      <c r="D4" s="490" t="s">
        <v>726</v>
      </c>
      <c r="E4" s="490"/>
      <c r="F4" s="490"/>
      <c r="G4" s="490"/>
      <c r="H4" s="490"/>
      <c r="I4" s="490"/>
      <c r="J4" s="490"/>
      <c r="K4" s="490"/>
      <c r="L4" s="477"/>
      <c r="M4" s="479"/>
      <c r="N4" s="484"/>
      <c r="O4" s="485"/>
      <c r="P4" s="485"/>
      <c r="Q4" s="485"/>
      <c r="R4" s="485"/>
      <c r="S4" s="485"/>
      <c r="T4" s="485"/>
      <c r="U4" s="485"/>
      <c r="V4" s="486"/>
    </row>
    <row r="5" spans="1:22" x14ac:dyDescent="0.25">
      <c r="A5" s="474"/>
      <c r="B5" s="491" t="s">
        <v>727</v>
      </c>
      <c r="C5" s="491"/>
      <c r="D5" s="490"/>
      <c r="E5" s="490"/>
      <c r="F5" s="490"/>
      <c r="G5" s="490"/>
      <c r="H5" s="490"/>
      <c r="I5" s="490"/>
      <c r="J5" s="490"/>
      <c r="K5" s="490"/>
      <c r="L5" s="477"/>
      <c r="M5" s="479"/>
      <c r="N5" s="484"/>
      <c r="O5" s="485"/>
      <c r="P5" s="485"/>
      <c r="Q5" s="485"/>
      <c r="R5" s="485"/>
      <c r="S5" s="485"/>
      <c r="T5" s="485"/>
      <c r="U5" s="485"/>
      <c r="V5" s="486"/>
    </row>
    <row r="6" spans="1:22" x14ac:dyDescent="0.25">
      <c r="A6" s="474"/>
      <c r="B6" s="499" t="s">
        <v>728</v>
      </c>
      <c r="C6" s="490" t="s">
        <v>729</v>
      </c>
      <c r="D6" s="490" t="s">
        <v>730</v>
      </c>
      <c r="E6" s="490" t="s">
        <v>731</v>
      </c>
      <c r="F6" s="490" t="s">
        <v>732</v>
      </c>
      <c r="G6" s="490" t="s">
        <v>733</v>
      </c>
      <c r="H6" s="490" t="s">
        <v>734</v>
      </c>
      <c r="I6" s="490" t="s">
        <v>735</v>
      </c>
      <c r="J6" s="490" t="s">
        <v>736</v>
      </c>
      <c r="K6" s="490"/>
      <c r="L6" s="477"/>
      <c r="M6" s="479"/>
      <c r="N6" s="487"/>
      <c r="O6" s="488"/>
      <c r="P6" s="488"/>
      <c r="Q6" s="488"/>
      <c r="R6" s="488"/>
      <c r="S6" s="488"/>
      <c r="T6" s="488"/>
      <c r="U6" s="488"/>
      <c r="V6" s="489"/>
    </row>
    <row r="7" spans="1:22" ht="21" x14ac:dyDescent="0.25">
      <c r="A7" s="475"/>
      <c r="B7" s="499"/>
      <c r="C7" s="490"/>
      <c r="D7" s="490"/>
      <c r="E7" s="490"/>
      <c r="F7" s="490"/>
      <c r="G7" s="490"/>
      <c r="H7" s="490"/>
      <c r="I7" s="490"/>
      <c r="J7" s="490"/>
      <c r="K7" s="490"/>
      <c r="L7" s="477"/>
      <c r="M7" s="479"/>
      <c r="N7" s="492" t="s">
        <v>737</v>
      </c>
      <c r="O7" s="492"/>
      <c r="P7" s="492"/>
      <c r="Q7" s="492"/>
      <c r="R7" s="492"/>
      <c r="S7" s="492"/>
      <c r="T7" s="492"/>
      <c r="U7" s="492"/>
      <c r="V7" s="492"/>
    </row>
    <row r="8" spans="1:22" ht="45" x14ac:dyDescent="0.25">
      <c r="K8" s="216"/>
      <c r="L8" s="217"/>
      <c r="M8" s="480"/>
      <c r="N8" s="218" t="s">
        <v>738</v>
      </c>
      <c r="O8" s="219" t="s">
        <v>739</v>
      </c>
      <c r="P8" s="219" t="s">
        <v>740</v>
      </c>
      <c r="Q8" s="219" t="s">
        <v>741</v>
      </c>
      <c r="R8" s="219" t="s">
        <v>742</v>
      </c>
      <c r="S8" s="219" t="s">
        <v>743</v>
      </c>
      <c r="T8" s="219" t="s">
        <v>744</v>
      </c>
      <c r="U8" s="219" t="s">
        <v>745</v>
      </c>
      <c r="V8" s="220" t="s">
        <v>90</v>
      </c>
    </row>
    <row r="9" spans="1:22" ht="15.75" x14ac:dyDescent="0.25">
      <c r="J9" s="221"/>
      <c r="K9" s="221"/>
      <c r="L9" s="222"/>
      <c r="M9" s="218"/>
      <c r="N9" s="223"/>
      <c r="O9" s="219"/>
      <c r="P9" s="219"/>
      <c r="Q9" s="219"/>
      <c r="R9" s="219"/>
      <c r="S9" s="219"/>
      <c r="T9" s="219"/>
      <c r="U9" s="219"/>
      <c r="V9" s="224"/>
    </row>
    <row r="10" spans="1:22" x14ac:dyDescent="0.25">
      <c r="A10" s="225" t="s">
        <v>746</v>
      </c>
      <c r="B10" s="226">
        <v>31.2</v>
      </c>
      <c r="C10" s="226">
        <v>26.56</v>
      </c>
      <c r="D10" s="226">
        <v>4.62</v>
      </c>
      <c r="E10" s="226">
        <v>4.62</v>
      </c>
      <c r="F10" s="226">
        <v>0</v>
      </c>
      <c r="G10" s="226">
        <v>0</v>
      </c>
      <c r="H10" s="227">
        <f>SUM(C10+E10+F10+G10)</f>
        <v>31.18</v>
      </c>
      <c r="I10" s="228">
        <v>31.2</v>
      </c>
      <c r="J10" s="229">
        <f>H10-I10</f>
        <v>-1.9999999999999574E-2</v>
      </c>
      <c r="K10" s="229">
        <v>0.2</v>
      </c>
      <c r="L10" s="230">
        <v>0</v>
      </c>
      <c r="M10" s="231" t="s">
        <v>747</v>
      </c>
      <c r="N10" s="232"/>
      <c r="O10" s="493" t="s">
        <v>748</v>
      </c>
      <c r="P10" s="494"/>
      <c r="Q10" s="494"/>
      <c r="R10" s="494"/>
      <c r="S10" s="494"/>
      <c r="T10" s="494"/>
      <c r="U10" s="494"/>
      <c r="V10" s="495"/>
    </row>
    <row r="11" spans="1:22" ht="60" x14ac:dyDescent="0.25">
      <c r="A11" s="225" t="s">
        <v>749</v>
      </c>
      <c r="B11" s="226">
        <v>0</v>
      </c>
      <c r="C11" s="226">
        <v>0</v>
      </c>
      <c r="D11" s="226">
        <v>380</v>
      </c>
      <c r="E11" s="226">
        <v>380</v>
      </c>
      <c r="F11" s="226">
        <v>300</v>
      </c>
      <c r="G11" s="226">
        <v>390</v>
      </c>
      <c r="H11" s="227">
        <f t="shared" ref="H11:H20" si="0">SUM(C11+E11+F11+G11)</f>
        <v>1070</v>
      </c>
      <c r="I11" s="228">
        <v>570</v>
      </c>
      <c r="J11" s="229">
        <f t="shared" ref="J11:J20" si="1">H11-I11</f>
        <v>500</v>
      </c>
      <c r="K11" s="229">
        <v>2</v>
      </c>
      <c r="L11" s="230">
        <v>0</v>
      </c>
      <c r="M11" s="233" t="s">
        <v>750</v>
      </c>
      <c r="N11" s="234" t="s">
        <v>751</v>
      </c>
      <c r="O11" s="496" t="s">
        <v>752</v>
      </c>
      <c r="P11" s="497"/>
      <c r="Q11" s="497"/>
      <c r="R11" s="497"/>
      <c r="S11" s="498"/>
      <c r="T11" s="235" t="s">
        <v>753</v>
      </c>
      <c r="U11" s="235" t="s">
        <v>754</v>
      </c>
      <c r="V11" s="234" t="s">
        <v>755</v>
      </c>
    </row>
    <row r="12" spans="1:22" ht="60" x14ac:dyDescent="0.25">
      <c r="A12" s="225" t="s">
        <v>756</v>
      </c>
      <c r="B12" s="226">
        <v>0</v>
      </c>
      <c r="C12" s="226">
        <v>0</v>
      </c>
      <c r="D12" s="226">
        <v>142.5</v>
      </c>
      <c r="E12" s="226">
        <v>142.5</v>
      </c>
      <c r="F12" s="226">
        <v>200</v>
      </c>
      <c r="G12" s="226">
        <v>100</v>
      </c>
      <c r="H12" s="227">
        <f t="shared" si="0"/>
        <v>442.5</v>
      </c>
      <c r="I12" s="228">
        <v>171</v>
      </c>
      <c r="J12" s="229">
        <f t="shared" si="1"/>
        <v>271.5</v>
      </c>
      <c r="K12" s="229">
        <v>0.6</v>
      </c>
      <c r="L12" s="230">
        <v>0</v>
      </c>
      <c r="M12" s="233" t="s">
        <v>757</v>
      </c>
      <c r="N12" s="234" t="s">
        <v>758</v>
      </c>
      <c r="O12" s="235" t="s">
        <v>759</v>
      </c>
      <c r="P12" s="235" t="s">
        <v>760</v>
      </c>
      <c r="Q12" s="235" t="s">
        <v>761</v>
      </c>
      <c r="R12" s="235" t="s">
        <v>762</v>
      </c>
      <c r="S12" s="235" t="s">
        <v>763</v>
      </c>
      <c r="T12" s="235" t="s">
        <v>764</v>
      </c>
      <c r="U12" s="235" t="s">
        <v>754</v>
      </c>
      <c r="V12" s="234" t="s">
        <v>765</v>
      </c>
    </row>
    <row r="13" spans="1:22" ht="60" x14ac:dyDescent="0.25">
      <c r="A13" s="225" t="s">
        <v>408</v>
      </c>
      <c r="B13" s="226">
        <v>1048.27</v>
      </c>
      <c r="C13" s="226">
        <v>0</v>
      </c>
      <c r="D13" s="226">
        <v>387.6</v>
      </c>
      <c r="E13" s="226">
        <v>100</v>
      </c>
      <c r="F13" s="226">
        <v>400</v>
      </c>
      <c r="G13" s="226">
        <v>400</v>
      </c>
      <c r="H13" s="227">
        <f t="shared" si="0"/>
        <v>900</v>
      </c>
      <c r="I13" s="228">
        <v>1140</v>
      </c>
      <c r="J13" s="229">
        <f t="shared" si="1"/>
        <v>-240</v>
      </c>
      <c r="K13" s="229">
        <v>4</v>
      </c>
      <c r="L13" s="230">
        <v>2</v>
      </c>
      <c r="M13" s="233" t="s">
        <v>766</v>
      </c>
      <c r="N13" s="234" t="s">
        <v>758</v>
      </c>
      <c r="O13" s="236" t="s">
        <v>767</v>
      </c>
      <c r="P13" s="236" t="s">
        <v>760</v>
      </c>
      <c r="Q13" s="236" t="s">
        <v>768</v>
      </c>
      <c r="R13" s="236" t="s">
        <v>769</v>
      </c>
      <c r="S13" s="236" t="s">
        <v>770</v>
      </c>
      <c r="T13" s="236" t="s">
        <v>771</v>
      </c>
      <c r="U13" s="235" t="s">
        <v>772</v>
      </c>
      <c r="V13" s="237" t="s">
        <v>773</v>
      </c>
    </row>
    <row r="14" spans="1:22" ht="45" x14ac:dyDescent="0.25">
      <c r="A14" s="225" t="s">
        <v>1</v>
      </c>
      <c r="B14" s="226">
        <v>384</v>
      </c>
      <c r="C14" s="226">
        <v>0.74</v>
      </c>
      <c r="D14" s="226">
        <v>285</v>
      </c>
      <c r="E14" s="226">
        <v>285</v>
      </c>
      <c r="F14" s="226">
        <v>284.26499999999999</v>
      </c>
      <c r="G14" s="226">
        <v>0</v>
      </c>
      <c r="H14" s="238">
        <f t="shared" si="0"/>
        <v>570.005</v>
      </c>
      <c r="I14" s="228">
        <v>570</v>
      </c>
      <c r="J14" s="229">
        <f t="shared" si="1"/>
        <v>4.9999999999954525E-3</v>
      </c>
      <c r="K14" s="229">
        <v>2</v>
      </c>
      <c r="L14" s="230">
        <v>0</v>
      </c>
      <c r="M14" s="233" t="s">
        <v>774</v>
      </c>
      <c r="N14" s="234" t="s">
        <v>758</v>
      </c>
      <c r="O14" s="235" t="s">
        <v>775</v>
      </c>
      <c r="P14" s="235" t="s">
        <v>776</v>
      </c>
      <c r="Q14" s="235" t="s">
        <v>777</v>
      </c>
      <c r="R14" s="235" t="s">
        <v>778</v>
      </c>
      <c r="S14" s="235" t="s">
        <v>764</v>
      </c>
      <c r="T14" s="235" t="s">
        <v>779</v>
      </c>
      <c r="U14" s="235" t="s">
        <v>780</v>
      </c>
      <c r="V14" s="234" t="s">
        <v>781</v>
      </c>
    </row>
    <row r="15" spans="1:22" ht="30" x14ac:dyDescent="0.25">
      <c r="A15" s="225" t="s">
        <v>782</v>
      </c>
      <c r="B15" s="226">
        <v>585</v>
      </c>
      <c r="C15" s="226">
        <v>0</v>
      </c>
      <c r="D15" s="226">
        <v>855</v>
      </c>
      <c r="E15" s="226">
        <v>250</v>
      </c>
      <c r="F15" s="226">
        <v>1000</v>
      </c>
      <c r="G15" s="226">
        <v>250</v>
      </c>
      <c r="H15" s="227">
        <f t="shared" si="0"/>
        <v>1500</v>
      </c>
      <c r="I15" s="228">
        <v>1068.75</v>
      </c>
      <c r="J15" s="229">
        <f t="shared" si="1"/>
        <v>431.25</v>
      </c>
      <c r="K15" s="229">
        <v>3.75</v>
      </c>
      <c r="L15" s="230">
        <v>0</v>
      </c>
      <c r="M15" s="233" t="s">
        <v>783</v>
      </c>
      <c r="N15" s="234" t="s">
        <v>784</v>
      </c>
      <c r="O15" s="236" t="s">
        <v>785</v>
      </c>
      <c r="P15" s="236" t="s">
        <v>786</v>
      </c>
      <c r="Q15" s="236" t="s">
        <v>787</v>
      </c>
      <c r="R15" s="236" t="s">
        <v>770</v>
      </c>
      <c r="S15" s="236" t="s">
        <v>771</v>
      </c>
      <c r="T15" s="236" t="s">
        <v>788</v>
      </c>
      <c r="U15" s="236" t="s">
        <v>789</v>
      </c>
      <c r="V15" s="234" t="s">
        <v>790</v>
      </c>
    </row>
    <row r="16" spans="1:22" ht="60" x14ac:dyDescent="0.25">
      <c r="A16" s="225" t="s">
        <v>791</v>
      </c>
      <c r="B16" s="226">
        <v>156</v>
      </c>
      <c r="C16" s="226">
        <v>0</v>
      </c>
      <c r="D16" s="239">
        <v>71.25</v>
      </c>
      <c r="E16" s="239">
        <v>71.25</v>
      </c>
      <c r="F16" s="239">
        <v>71.25</v>
      </c>
      <c r="G16" s="226">
        <v>0</v>
      </c>
      <c r="H16" s="227">
        <f t="shared" si="0"/>
        <v>142.5</v>
      </c>
      <c r="I16" s="228">
        <v>142.5</v>
      </c>
      <c r="J16" s="229">
        <f t="shared" si="1"/>
        <v>0</v>
      </c>
      <c r="K16" s="229">
        <v>0.5</v>
      </c>
      <c r="L16" s="230">
        <v>0</v>
      </c>
      <c r="M16" s="233" t="s">
        <v>792</v>
      </c>
      <c r="N16" s="234" t="s">
        <v>758</v>
      </c>
      <c r="O16" s="236" t="s">
        <v>793</v>
      </c>
      <c r="P16" s="236" t="s">
        <v>760</v>
      </c>
      <c r="Q16" s="236" t="s">
        <v>794</v>
      </c>
      <c r="R16" s="236" t="s">
        <v>763</v>
      </c>
      <c r="S16" s="236" t="s">
        <v>795</v>
      </c>
      <c r="T16" s="236" t="s">
        <v>796</v>
      </c>
      <c r="U16" s="240" t="s">
        <v>797</v>
      </c>
      <c r="V16" s="234" t="s">
        <v>798</v>
      </c>
    </row>
    <row r="17" spans="1:22" ht="105" x14ac:dyDescent="0.25">
      <c r="A17" s="225" t="s">
        <v>799</v>
      </c>
      <c r="B17" s="226">
        <v>682.5</v>
      </c>
      <c r="C17" s="226">
        <v>0</v>
      </c>
      <c r="D17" s="226">
        <v>1140</v>
      </c>
      <c r="E17" s="226">
        <v>1140</v>
      </c>
      <c r="F17" s="226">
        <v>400</v>
      </c>
      <c r="G17" s="226">
        <v>120</v>
      </c>
      <c r="H17" s="227">
        <f t="shared" si="0"/>
        <v>1660</v>
      </c>
      <c r="I17" s="228">
        <v>1246.9000000000001</v>
      </c>
      <c r="J17" s="229">
        <f t="shared" si="1"/>
        <v>413.09999999999991</v>
      </c>
      <c r="K17" s="241">
        <v>4.375</v>
      </c>
      <c r="L17" s="230">
        <v>0</v>
      </c>
      <c r="M17" s="233" t="s">
        <v>800</v>
      </c>
      <c r="N17" s="234" t="s">
        <v>801</v>
      </c>
      <c r="O17" s="236" t="s">
        <v>767</v>
      </c>
      <c r="P17" s="496" t="s">
        <v>802</v>
      </c>
      <c r="Q17" s="497"/>
      <c r="R17" s="497"/>
      <c r="S17" s="498"/>
      <c r="T17" s="236" t="s">
        <v>777</v>
      </c>
      <c r="U17" s="235" t="s">
        <v>803</v>
      </c>
      <c r="V17" s="237" t="s">
        <v>804</v>
      </c>
    </row>
    <row r="18" spans="1:22" ht="90" x14ac:dyDescent="0.25">
      <c r="A18" s="225" t="s">
        <v>2</v>
      </c>
      <c r="B18" s="226">
        <v>468</v>
      </c>
      <c r="C18" s="226">
        <v>0</v>
      </c>
      <c r="D18" s="226">
        <v>106.88</v>
      </c>
      <c r="E18" s="226">
        <v>0</v>
      </c>
      <c r="F18" s="226">
        <v>700</v>
      </c>
      <c r="G18" s="226">
        <v>400</v>
      </c>
      <c r="H18" s="227">
        <f t="shared" si="0"/>
        <v>1100</v>
      </c>
      <c r="I18" s="228">
        <v>855</v>
      </c>
      <c r="J18" s="229">
        <f t="shared" si="1"/>
        <v>245</v>
      </c>
      <c r="K18" s="229">
        <v>3</v>
      </c>
      <c r="L18" s="230">
        <v>1</v>
      </c>
      <c r="M18" s="233" t="s">
        <v>805</v>
      </c>
      <c r="N18" s="234" t="s">
        <v>806</v>
      </c>
      <c r="O18" s="236" t="s">
        <v>807</v>
      </c>
      <c r="P18" s="236" t="s">
        <v>808</v>
      </c>
      <c r="Q18" s="235" t="s">
        <v>809</v>
      </c>
      <c r="R18" s="235" t="s">
        <v>810</v>
      </c>
      <c r="S18" s="236" t="s">
        <v>811</v>
      </c>
      <c r="T18" s="236" t="s">
        <v>812</v>
      </c>
      <c r="U18" s="235" t="s">
        <v>813</v>
      </c>
      <c r="V18" s="237" t="s">
        <v>814</v>
      </c>
    </row>
    <row r="19" spans="1:22" ht="45" x14ac:dyDescent="0.25">
      <c r="A19" s="225" t="s">
        <v>414</v>
      </c>
      <c r="B19" s="226">
        <v>156</v>
      </c>
      <c r="C19" s="226">
        <v>0</v>
      </c>
      <c r="D19" s="226">
        <v>427.5</v>
      </c>
      <c r="E19" s="226">
        <v>427.5</v>
      </c>
      <c r="F19" s="226">
        <v>400</v>
      </c>
      <c r="G19" s="226">
        <v>600</v>
      </c>
      <c r="H19" s="227">
        <f t="shared" si="0"/>
        <v>1427.5</v>
      </c>
      <c r="I19" s="228">
        <v>855</v>
      </c>
      <c r="J19" s="229">
        <f t="shared" si="1"/>
        <v>572.5</v>
      </c>
      <c r="K19" s="229">
        <v>3</v>
      </c>
      <c r="L19" s="230">
        <v>0</v>
      </c>
      <c r="M19" s="233" t="s">
        <v>815</v>
      </c>
      <c r="N19" s="234" t="s">
        <v>758</v>
      </c>
      <c r="O19" s="242" t="s">
        <v>816</v>
      </c>
      <c r="P19" s="493" t="s">
        <v>817</v>
      </c>
      <c r="Q19" s="494"/>
      <c r="R19" s="494"/>
      <c r="S19" s="494"/>
      <c r="T19" s="494"/>
      <c r="U19" s="495"/>
      <c r="V19" s="243">
        <v>45809</v>
      </c>
    </row>
    <row r="20" spans="1:22" ht="45.75" thickBot="1" x14ac:dyDescent="0.3">
      <c r="A20" s="244" t="s">
        <v>818</v>
      </c>
      <c r="B20" s="245">
        <v>0</v>
      </c>
      <c r="C20" s="245">
        <v>228.12</v>
      </c>
      <c r="D20" s="245">
        <v>350</v>
      </c>
      <c r="E20" s="245">
        <v>300</v>
      </c>
      <c r="F20" s="245">
        <v>200</v>
      </c>
      <c r="G20" s="245">
        <v>200</v>
      </c>
      <c r="H20" s="246">
        <f t="shared" si="0"/>
        <v>928.12</v>
      </c>
      <c r="I20" s="247">
        <v>1282.499</v>
      </c>
      <c r="J20" s="248">
        <f t="shared" si="1"/>
        <v>-354.37900000000002</v>
      </c>
      <c r="K20" s="248">
        <v>4.5</v>
      </c>
      <c r="L20" s="249">
        <v>2</v>
      </c>
      <c r="M20" s="250" t="s">
        <v>819</v>
      </c>
      <c r="N20" s="251" t="s">
        <v>820</v>
      </c>
      <c r="O20" s="252" t="s">
        <v>816</v>
      </c>
      <c r="P20" s="500" t="s">
        <v>821</v>
      </c>
      <c r="Q20" s="501"/>
      <c r="R20" s="501"/>
      <c r="S20" s="501"/>
      <c r="T20" s="501"/>
      <c r="U20" s="502"/>
      <c r="V20" s="253">
        <v>45809</v>
      </c>
    </row>
    <row r="21" spans="1:22" x14ac:dyDescent="0.25">
      <c r="A21" s="503" t="s">
        <v>416</v>
      </c>
      <c r="B21" s="506">
        <v>156</v>
      </c>
      <c r="C21" s="506">
        <v>2.85</v>
      </c>
      <c r="D21" s="506">
        <v>196.65</v>
      </c>
      <c r="E21" s="506">
        <v>100</v>
      </c>
      <c r="F21" s="506">
        <v>200</v>
      </c>
      <c r="G21" s="506">
        <v>300</v>
      </c>
      <c r="H21" s="510">
        <f>SUM(C21+E21+F21+G21)</f>
        <v>602.85</v>
      </c>
      <c r="I21" s="513">
        <v>199.5</v>
      </c>
      <c r="J21" s="516">
        <f>H21-I21</f>
        <v>403.35</v>
      </c>
      <c r="K21" s="516">
        <v>0.7</v>
      </c>
      <c r="L21" s="519">
        <v>0</v>
      </c>
      <c r="M21" s="522" t="s">
        <v>822</v>
      </c>
      <c r="N21" s="254" t="s">
        <v>823</v>
      </c>
      <c r="O21" s="509" t="s">
        <v>824</v>
      </c>
      <c r="P21" s="509"/>
      <c r="Q21" s="509"/>
      <c r="R21" s="509"/>
      <c r="S21" s="509"/>
      <c r="T21" s="509"/>
      <c r="U21" s="509"/>
      <c r="V21" s="255"/>
    </row>
    <row r="22" spans="1:22" ht="60" x14ac:dyDescent="0.25">
      <c r="A22" s="504"/>
      <c r="B22" s="507"/>
      <c r="C22" s="507"/>
      <c r="D22" s="507"/>
      <c r="E22" s="507"/>
      <c r="F22" s="507"/>
      <c r="G22" s="507"/>
      <c r="H22" s="511"/>
      <c r="I22" s="514"/>
      <c r="J22" s="517"/>
      <c r="K22" s="517"/>
      <c r="L22" s="520"/>
      <c r="M22" s="523"/>
      <c r="N22" s="256" t="s">
        <v>825</v>
      </c>
      <c r="O22" s="257" t="s">
        <v>760</v>
      </c>
      <c r="P22" s="257" t="s">
        <v>753</v>
      </c>
      <c r="Q22" s="257" t="s">
        <v>795</v>
      </c>
      <c r="R22" s="257" t="s">
        <v>770</v>
      </c>
      <c r="S22" s="257" t="s">
        <v>826</v>
      </c>
      <c r="T22" s="257" t="s">
        <v>827</v>
      </c>
      <c r="U22" s="258" t="s">
        <v>828</v>
      </c>
      <c r="V22" s="259" t="s">
        <v>829</v>
      </c>
    </row>
    <row r="23" spans="1:22" ht="45" x14ac:dyDescent="0.25">
      <c r="A23" s="504"/>
      <c r="B23" s="507"/>
      <c r="C23" s="507"/>
      <c r="D23" s="507"/>
      <c r="E23" s="507"/>
      <c r="F23" s="507"/>
      <c r="G23" s="507"/>
      <c r="H23" s="511"/>
      <c r="I23" s="514"/>
      <c r="J23" s="517"/>
      <c r="K23" s="517"/>
      <c r="L23" s="520"/>
      <c r="M23" s="523"/>
      <c r="N23" s="256" t="s">
        <v>830</v>
      </c>
      <c r="O23" s="257" t="s">
        <v>776</v>
      </c>
      <c r="P23" s="257" t="s">
        <v>760</v>
      </c>
      <c r="Q23" s="257" t="s">
        <v>831</v>
      </c>
      <c r="R23" s="257" t="s">
        <v>832</v>
      </c>
      <c r="S23" s="257" t="s">
        <v>795</v>
      </c>
      <c r="T23" s="257" t="s">
        <v>795</v>
      </c>
      <c r="U23" s="258" t="s">
        <v>833</v>
      </c>
      <c r="V23" s="260" t="s">
        <v>834</v>
      </c>
    </row>
    <row r="24" spans="1:22" ht="45.75" thickBot="1" x14ac:dyDescent="0.3">
      <c r="A24" s="505"/>
      <c r="B24" s="508"/>
      <c r="C24" s="508"/>
      <c r="D24" s="508"/>
      <c r="E24" s="508"/>
      <c r="F24" s="508"/>
      <c r="G24" s="508"/>
      <c r="H24" s="512"/>
      <c r="I24" s="515"/>
      <c r="J24" s="518"/>
      <c r="K24" s="518"/>
      <c r="L24" s="521"/>
      <c r="M24" s="524"/>
      <c r="N24" s="261" t="s">
        <v>835</v>
      </c>
      <c r="O24" s="262" t="s">
        <v>767</v>
      </c>
      <c r="P24" s="262" t="s">
        <v>760</v>
      </c>
      <c r="Q24" s="262" t="s">
        <v>831</v>
      </c>
      <c r="R24" s="262" t="s">
        <v>832</v>
      </c>
      <c r="S24" s="262" t="s">
        <v>795</v>
      </c>
      <c r="T24" s="262" t="s">
        <v>795</v>
      </c>
      <c r="U24" s="263" t="s">
        <v>833</v>
      </c>
      <c r="V24" s="264" t="s">
        <v>836</v>
      </c>
    </row>
    <row r="25" spans="1:22" ht="45" x14ac:dyDescent="0.25">
      <c r="A25" s="525" t="s">
        <v>837</v>
      </c>
      <c r="B25" s="528">
        <v>4485</v>
      </c>
      <c r="C25" s="528">
        <v>0</v>
      </c>
      <c r="D25" s="528">
        <v>1168.5</v>
      </c>
      <c r="E25" s="528">
        <v>100</v>
      </c>
      <c r="F25" s="528">
        <v>1969</v>
      </c>
      <c r="G25" s="528">
        <v>3250</v>
      </c>
      <c r="H25" s="531">
        <f>SUM(C25+E25+F25+G25)</f>
        <v>5319</v>
      </c>
      <c r="I25" s="534">
        <v>6581.8</v>
      </c>
      <c r="J25" s="567">
        <f>H25-I25</f>
        <v>-1262.8000000000002</v>
      </c>
      <c r="K25" s="567">
        <v>23</v>
      </c>
      <c r="L25" s="519">
        <v>0</v>
      </c>
      <c r="M25" s="570" t="s">
        <v>838</v>
      </c>
      <c r="N25" s="265" t="s">
        <v>839</v>
      </c>
      <c r="O25" s="266" t="s">
        <v>776</v>
      </c>
      <c r="P25" s="266" t="s">
        <v>760</v>
      </c>
      <c r="Q25" s="266" t="s">
        <v>831</v>
      </c>
      <c r="R25" s="266" t="s">
        <v>832</v>
      </c>
      <c r="S25" s="266" t="s">
        <v>795</v>
      </c>
      <c r="T25" s="266" t="s">
        <v>795</v>
      </c>
      <c r="U25" s="267" t="s">
        <v>833</v>
      </c>
      <c r="V25" s="268" t="s">
        <v>840</v>
      </c>
    </row>
    <row r="26" spans="1:22" ht="60" x14ac:dyDescent="0.25">
      <c r="A26" s="526"/>
      <c r="B26" s="529"/>
      <c r="C26" s="529"/>
      <c r="D26" s="529"/>
      <c r="E26" s="529"/>
      <c r="F26" s="529"/>
      <c r="G26" s="529"/>
      <c r="H26" s="532"/>
      <c r="I26" s="535"/>
      <c r="J26" s="568"/>
      <c r="K26" s="568"/>
      <c r="L26" s="520"/>
      <c r="M26" s="571"/>
      <c r="N26" s="269" t="s">
        <v>841</v>
      </c>
      <c r="O26" s="270" t="s">
        <v>760</v>
      </c>
      <c r="P26" s="270" t="s">
        <v>842</v>
      </c>
      <c r="Q26" s="270" t="s">
        <v>777</v>
      </c>
      <c r="R26" s="270" t="s">
        <v>770</v>
      </c>
      <c r="S26" s="270" t="s">
        <v>843</v>
      </c>
      <c r="T26" s="270" t="s">
        <v>844</v>
      </c>
      <c r="U26" s="271" t="s">
        <v>845</v>
      </c>
      <c r="V26" s="272" t="s">
        <v>846</v>
      </c>
    </row>
    <row r="27" spans="1:22" ht="60" x14ac:dyDescent="0.25">
      <c r="A27" s="526"/>
      <c r="B27" s="529"/>
      <c r="C27" s="529"/>
      <c r="D27" s="529"/>
      <c r="E27" s="529"/>
      <c r="F27" s="529"/>
      <c r="G27" s="529"/>
      <c r="H27" s="532"/>
      <c r="I27" s="535"/>
      <c r="J27" s="568"/>
      <c r="K27" s="568"/>
      <c r="L27" s="520"/>
      <c r="M27" s="571"/>
      <c r="N27" s="269" t="s">
        <v>847</v>
      </c>
      <c r="O27" s="273" t="s">
        <v>848</v>
      </c>
      <c r="P27" s="270" t="str">
        <f>O27</f>
        <v>15th June</v>
      </c>
      <c r="Q27" s="270" t="s">
        <v>843</v>
      </c>
      <c r="R27" s="270" t="s">
        <v>849</v>
      </c>
      <c r="S27" s="270" t="s">
        <v>850</v>
      </c>
      <c r="T27" s="270" t="s">
        <v>851</v>
      </c>
      <c r="U27" s="271" t="s">
        <v>852</v>
      </c>
      <c r="V27" s="272" t="s">
        <v>853</v>
      </c>
    </row>
    <row r="28" spans="1:22" ht="75" x14ac:dyDescent="0.25">
      <c r="A28" s="526"/>
      <c r="B28" s="529"/>
      <c r="C28" s="529"/>
      <c r="D28" s="529"/>
      <c r="E28" s="529"/>
      <c r="F28" s="529"/>
      <c r="G28" s="529"/>
      <c r="H28" s="532"/>
      <c r="I28" s="535"/>
      <c r="J28" s="568"/>
      <c r="K28" s="568"/>
      <c r="L28" s="520"/>
      <c r="M28" s="571"/>
      <c r="N28" s="269" t="s">
        <v>854</v>
      </c>
      <c r="O28" s="270" t="s">
        <v>850</v>
      </c>
      <c r="P28" s="270" t="s">
        <v>851</v>
      </c>
      <c r="Q28" s="270" t="s">
        <v>855</v>
      </c>
      <c r="R28" s="270" t="s">
        <v>856</v>
      </c>
      <c r="S28" s="270" t="s">
        <v>857</v>
      </c>
      <c r="T28" s="270" t="s">
        <v>858</v>
      </c>
      <c r="U28" s="271" t="s">
        <v>859</v>
      </c>
      <c r="V28" s="272" t="s">
        <v>860</v>
      </c>
    </row>
    <row r="29" spans="1:22" ht="45" x14ac:dyDescent="0.25">
      <c r="A29" s="526"/>
      <c r="B29" s="529"/>
      <c r="C29" s="529"/>
      <c r="D29" s="529"/>
      <c r="E29" s="529"/>
      <c r="F29" s="529"/>
      <c r="G29" s="529"/>
      <c r="H29" s="532"/>
      <c r="I29" s="535"/>
      <c r="J29" s="568"/>
      <c r="K29" s="568"/>
      <c r="L29" s="520"/>
      <c r="M29" s="571"/>
      <c r="N29" s="269" t="s">
        <v>839</v>
      </c>
      <c r="O29" s="270" t="s">
        <v>776</v>
      </c>
      <c r="P29" s="270" t="s">
        <v>760</v>
      </c>
      <c r="Q29" s="270" t="s">
        <v>831</v>
      </c>
      <c r="R29" s="270" t="s">
        <v>832</v>
      </c>
      <c r="S29" s="270" t="s">
        <v>795</v>
      </c>
      <c r="T29" s="270" t="s">
        <v>795</v>
      </c>
      <c r="U29" s="271" t="s">
        <v>861</v>
      </c>
      <c r="V29" s="272" t="s">
        <v>862</v>
      </c>
    </row>
    <row r="30" spans="1:22" ht="60" x14ac:dyDescent="0.25">
      <c r="A30" s="526"/>
      <c r="B30" s="529"/>
      <c r="C30" s="529"/>
      <c r="D30" s="529"/>
      <c r="E30" s="529"/>
      <c r="F30" s="529"/>
      <c r="G30" s="529"/>
      <c r="H30" s="532"/>
      <c r="I30" s="535"/>
      <c r="J30" s="568"/>
      <c r="K30" s="568"/>
      <c r="L30" s="520"/>
      <c r="M30" s="571"/>
      <c r="N30" s="269" t="s">
        <v>863</v>
      </c>
      <c r="O30" s="270" t="s">
        <v>864</v>
      </c>
      <c r="P30" s="270" t="s">
        <v>753</v>
      </c>
      <c r="Q30" s="270" t="s">
        <v>795</v>
      </c>
      <c r="R30" s="270" t="s">
        <v>770</v>
      </c>
      <c r="S30" s="270" t="s">
        <v>843</v>
      </c>
      <c r="T30" s="270" t="s">
        <v>865</v>
      </c>
      <c r="U30" s="271" t="s">
        <v>866</v>
      </c>
      <c r="V30" s="272" t="s">
        <v>867</v>
      </c>
    </row>
    <row r="31" spans="1:22" ht="15.75" thickBot="1" x14ac:dyDescent="0.3">
      <c r="A31" s="527"/>
      <c r="B31" s="530"/>
      <c r="C31" s="530"/>
      <c r="D31" s="530"/>
      <c r="E31" s="530"/>
      <c r="F31" s="530"/>
      <c r="G31" s="530"/>
      <c r="H31" s="533"/>
      <c r="I31" s="536"/>
      <c r="J31" s="569"/>
      <c r="K31" s="569"/>
      <c r="L31" s="521"/>
      <c r="M31" s="572"/>
      <c r="N31" s="573" t="s">
        <v>868</v>
      </c>
      <c r="O31" s="574"/>
      <c r="P31" s="574"/>
      <c r="Q31" s="574"/>
      <c r="R31" s="574"/>
      <c r="S31" s="574"/>
      <c r="T31" s="574"/>
      <c r="U31" s="574"/>
      <c r="V31" s="575"/>
    </row>
    <row r="32" spans="1:22" ht="45" x14ac:dyDescent="0.25">
      <c r="A32" s="537" t="s">
        <v>869</v>
      </c>
      <c r="B32" s="540">
        <v>714.15</v>
      </c>
      <c r="C32" s="540">
        <v>0.45</v>
      </c>
      <c r="D32" s="540">
        <v>800</v>
      </c>
      <c r="E32" s="540">
        <v>100</v>
      </c>
      <c r="F32" s="540">
        <v>900</v>
      </c>
      <c r="G32" s="540">
        <v>1300</v>
      </c>
      <c r="H32" s="561">
        <f>SUM(C32+E32+F32+G32)</f>
        <v>2300.4499999999998</v>
      </c>
      <c r="I32" s="564">
        <v>2829.2</v>
      </c>
      <c r="J32" s="555">
        <f>H32-I32</f>
        <v>-528.75</v>
      </c>
      <c r="K32" s="558">
        <v>9.9269999999999996</v>
      </c>
      <c r="L32" s="519">
        <f>K32-4.87</f>
        <v>5.0569999999999995</v>
      </c>
      <c r="M32" s="543" t="s">
        <v>870</v>
      </c>
      <c r="N32" s="274" t="s">
        <v>871</v>
      </c>
      <c r="O32" s="546" t="s">
        <v>872</v>
      </c>
      <c r="P32" s="547"/>
      <c r="Q32" s="547"/>
      <c r="R32" s="547"/>
      <c r="S32" s="547"/>
      <c r="T32" s="547"/>
      <c r="U32" s="548"/>
      <c r="V32" s="275"/>
    </row>
    <row r="33" spans="1:22" ht="45" x14ac:dyDescent="0.25">
      <c r="A33" s="538"/>
      <c r="B33" s="541"/>
      <c r="C33" s="541"/>
      <c r="D33" s="541"/>
      <c r="E33" s="541"/>
      <c r="F33" s="541"/>
      <c r="G33" s="541"/>
      <c r="H33" s="562"/>
      <c r="I33" s="565"/>
      <c r="J33" s="556"/>
      <c r="K33" s="559"/>
      <c r="L33" s="520"/>
      <c r="M33" s="544"/>
      <c r="N33" s="276" t="s">
        <v>873</v>
      </c>
      <c r="O33" s="277" t="s">
        <v>848</v>
      </c>
      <c r="P33" s="278" t="str">
        <f>O33</f>
        <v>15th June</v>
      </c>
      <c r="Q33" s="278" t="s">
        <v>843</v>
      </c>
      <c r="R33" s="278" t="s">
        <v>849</v>
      </c>
      <c r="S33" s="278" t="s">
        <v>850</v>
      </c>
      <c r="T33" s="278" t="s">
        <v>851</v>
      </c>
      <c r="U33" s="279" t="s">
        <v>852</v>
      </c>
      <c r="V33" s="280" t="s">
        <v>874</v>
      </c>
    </row>
    <row r="34" spans="1:22" ht="60" x14ac:dyDescent="0.25">
      <c r="A34" s="538"/>
      <c r="B34" s="541"/>
      <c r="C34" s="541"/>
      <c r="D34" s="541"/>
      <c r="E34" s="541"/>
      <c r="F34" s="541"/>
      <c r="G34" s="541"/>
      <c r="H34" s="562"/>
      <c r="I34" s="565"/>
      <c r="J34" s="556"/>
      <c r="K34" s="559"/>
      <c r="L34" s="520"/>
      <c r="M34" s="544"/>
      <c r="N34" s="276" t="s">
        <v>875</v>
      </c>
      <c r="O34" s="549" t="s">
        <v>876</v>
      </c>
      <c r="P34" s="550"/>
      <c r="Q34" s="550"/>
      <c r="R34" s="550"/>
      <c r="S34" s="550"/>
      <c r="T34" s="550"/>
      <c r="U34" s="551"/>
      <c r="V34" s="281"/>
    </row>
    <row r="35" spans="1:22" ht="15.75" thickBot="1" x14ac:dyDescent="0.3">
      <c r="A35" s="539"/>
      <c r="B35" s="542"/>
      <c r="C35" s="542"/>
      <c r="D35" s="542"/>
      <c r="E35" s="542"/>
      <c r="F35" s="542"/>
      <c r="G35" s="542"/>
      <c r="H35" s="563"/>
      <c r="I35" s="566"/>
      <c r="J35" s="557"/>
      <c r="K35" s="560"/>
      <c r="L35" s="521"/>
      <c r="M35" s="545"/>
      <c r="N35" s="552" t="s">
        <v>868</v>
      </c>
      <c r="O35" s="553"/>
      <c r="P35" s="553"/>
      <c r="Q35" s="553"/>
      <c r="R35" s="553"/>
      <c r="S35" s="553"/>
      <c r="T35" s="553"/>
      <c r="U35" s="553"/>
      <c r="V35" s="554"/>
    </row>
    <row r="36" spans="1:22" ht="60" x14ac:dyDescent="0.25">
      <c r="A36" s="593" t="s">
        <v>877</v>
      </c>
      <c r="B36" s="595">
        <v>117</v>
      </c>
      <c r="C36" s="595">
        <v>0</v>
      </c>
      <c r="D36" s="595">
        <v>285</v>
      </c>
      <c r="E36" s="595">
        <v>0</v>
      </c>
      <c r="F36" s="595">
        <v>250</v>
      </c>
      <c r="G36" s="595">
        <v>320</v>
      </c>
      <c r="H36" s="587">
        <f>SUM(C36+E36+F36+G36)</f>
        <v>570</v>
      </c>
      <c r="I36" s="589">
        <v>570</v>
      </c>
      <c r="J36" s="591">
        <f>H36-I36</f>
        <v>0</v>
      </c>
      <c r="K36" s="591">
        <v>2</v>
      </c>
      <c r="L36" s="519">
        <v>0</v>
      </c>
      <c r="M36" s="582" t="s">
        <v>878</v>
      </c>
      <c r="N36" s="282" t="s">
        <v>879</v>
      </c>
      <c r="O36" s="283" t="s">
        <v>760</v>
      </c>
      <c r="P36" s="284" t="str">
        <f>O36</f>
        <v>10th May 24</v>
      </c>
      <c r="Q36" s="284" t="s">
        <v>880</v>
      </c>
      <c r="R36" s="284" t="s">
        <v>796</v>
      </c>
      <c r="S36" s="284" t="s">
        <v>865</v>
      </c>
      <c r="T36" s="284" t="s">
        <v>881</v>
      </c>
      <c r="U36" s="285" t="s">
        <v>852</v>
      </c>
      <c r="V36" s="286" t="s">
        <v>882</v>
      </c>
    </row>
    <row r="37" spans="1:22" ht="15.75" thickBot="1" x14ac:dyDescent="0.3">
      <c r="A37" s="594"/>
      <c r="B37" s="596"/>
      <c r="C37" s="596"/>
      <c r="D37" s="596"/>
      <c r="E37" s="596"/>
      <c r="F37" s="596"/>
      <c r="G37" s="596"/>
      <c r="H37" s="588"/>
      <c r="I37" s="590"/>
      <c r="J37" s="592"/>
      <c r="K37" s="592"/>
      <c r="L37" s="521"/>
      <c r="M37" s="583"/>
      <c r="N37" s="584" t="s">
        <v>868</v>
      </c>
      <c r="O37" s="585"/>
      <c r="P37" s="585"/>
      <c r="Q37" s="585"/>
      <c r="R37" s="585"/>
      <c r="S37" s="585"/>
      <c r="T37" s="585"/>
      <c r="U37" s="585"/>
      <c r="V37" s="586"/>
    </row>
    <row r="38" spans="1:22" x14ac:dyDescent="0.25">
      <c r="B38" s="287">
        <f t="shared" ref="B38:J38" si="2">SUM(B10:B36)</f>
        <v>8983.1200000000008</v>
      </c>
      <c r="C38" s="287">
        <f t="shared" si="2"/>
        <v>258.72000000000003</v>
      </c>
      <c r="D38" s="287">
        <f t="shared" si="2"/>
        <v>6600.5</v>
      </c>
      <c r="E38" s="287">
        <f t="shared" si="2"/>
        <v>3400.87</v>
      </c>
      <c r="F38" s="287">
        <f t="shared" si="2"/>
        <v>7274.5149999999994</v>
      </c>
      <c r="G38" s="287">
        <f t="shared" si="2"/>
        <v>7630</v>
      </c>
      <c r="H38" s="287">
        <f t="shared" si="2"/>
        <v>18564.105000000003</v>
      </c>
      <c r="I38" s="287">
        <f t="shared" si="2"/>
        <v>18113.349000000002</v>
      </c>
      <c r="J38" s="287">
        <f t="shared" si="2"/>
        <v>450.75599999999986</v>
      </c>
      <c r="K38" s="288">
        <v>63.552</v>
      </c>
      <c r="L38" s="289">
        <f>SUM(L11:L37)</f>
        <v>10.056999999999999</v>
      </c>
      <c r="M38" s="290"/>
      <c r="N38" s="291"/>
      <c r="O38" s="292"/>
      <c r="P38" s="292"/>
      <c r="Q38" s="292"/>
      <c r="R38" s="292"/>
      <c r="S38" s="292"/>
      <c r="T38" s="292"/>
      <c r="U38" s="292"/>
      <c r="V38" s="293"/>
    </row>
    <row r="39" spans="1:22" ht="16.5" thickBot="1" x14ac:dyDescent="0.3">
      <c r="J39" s="294"/>
      <c r="K39" s="294"/>
      <c r="L39" s="294"/>
      <c r="M39" s="250"/>
      <c r="N39" s="251"/>
      <c r="O39" s="295"/>
      <c r="P39" s="295"/>
      <c r="Q39" s="295"/>
      <c r="R39" s="295"/>
      <c r="S39" s="295"/>
      <c r="T39" s="295"/>
      <c r="U39" s="295"/>
      <c r="V39" s="296"/>
    </row>
    <row r="40" spans="1:22" ht="45" x14ac:dyDescent="0.25">
      <c r="A40" s="603" t="s">
        <v>417</v>
      </c>
      <c r="B40" s="606">
        <v>672</v>
      </c>
      <c r="C40" s="606">
        <v>0</v>
      </c>
      <c r="D40" s="606">
        <v>285</v>
      </c>
      <c r="E40" s="606">
        <v>260</v>
      </c>
      <c r="F40" s="606">
        <v>195</v>
      </c>
      <c r="G40" s="606">
        <v>400</v>
      </c>
      <c r="H40" s="597">
        <f>C40+E40+F40+G40</f>
        <v>855</v>
      </c>
      <c r="I40" s="600">
        <v>855</v>
      </c>
      <c r="J40" s="576">
        <f>H40-I40</f>
        <v>0</v>
      </c>
      <c r="K40" s="576">
        <v>3</v>
      </c>
      <c r="L40" s="576"/>
      <c r="M40" s="579" t="s">
        <v>883</v>
      </c>
      <c r="N40" s="297" t="s">
        <v>884</v>
      </c>
      <c r="O40" s="298" t="s">
        <v>786</v>
      </c>
      <c r="P40" s="298" t="str">
        <f>O40</f>
        <v>12th May 24</v>
      </c>
      <c r="Q40" s="298" t="s">
        <v>761</v>
      </c>
      <c r="R40" s="298" t="s">
        <v>787</v>
      </c>
      <c r="S40" s="298" t="s">
        <v>885</v>
      </c>
      <c r="T40" s="298" t="s">
        <v>770</v>
      </c>
      <c r="U40" s="299" t="s">
        <v>886</v>
      </c>
      <c r="V40" s="300" t="s">
        <v>887</v>
      </c>
    </row>
    <row r="41" spans="1:22" ht="45" x14ac:dyDescent="0.25">
      <c r="A41" s="604"/>
      <c r="B41" s="607"/>
      <c r="C41" s="607"/>
      <c r="D41" s="607"/>
      <c r="E41" s="607"/>
      <c r="F41" s="607"/>
      <c r="G41" s="607"/>
      <c r="H41" s="598"/>
      <c r="I41" s="601"/>
      <c r="J41" s="577"/>
      <c r="K41" s="577"/>
      <c r="L41" s="577"/>
      <c r="M41" s="580"/>
      <c r="N41" s="301" t="s">
        <v>888</v>
      </c>
      <c r="O41" s="302" t="s">
        <v>753</v>
      </c>
      <c r="P41" s="302" t="str">
        <f>O41</f>
        <v>15th May 24</v>
      </c>
      <c r="Q41" s="302" t="s">
        <v>832</v>
      </c>
      <c r="R41" s="302" t="s">
        <v>880</v>
      </c>
      <c r="S41" s="302" t="s">
        <v>770</v>
      </c>
      <c r="T41" s="302" t="s">
        <v>796</v>
      </c>
      <c r="U41" s="303" t="s">
        <v>889</v>
      </c>
      <c r="V41" s="304" t="s">
        <v>890</v>
      </c>
    </row>
    <row r="42" spans="1:22" ht="60" x14ac:dyDescent="0.25">
      <c r="A42" s="604"/>
      <c r="B42" s="607"/>
      <c r="C42" s="607"/>
      <c r="D42" s="607"/>
      <c r="E42" s="607"/>
      <c r="F42" s="607"/>
      <c r="G42" s="607"/>
      <c r="H42" s="598"/>
      <c r="I42" s="601"/>
      <c r="J42" s="577"/>
      <c r="K42" s="577"/>
      <c r="L42" s="577"/>
      <c r="M42" s="580"/>
      <c r="N42" s="301" t="s">
        <v>891</v>
      </c>
      <c r="O42" s="302" t="s">
        <v>842</v>
      </c>
      <c r="P42" s="302" t="str">
        <f>O42</f>
        <v>13th May 24</v>
      </c>
      <c r="Q42" s="302" t="s">
        <v>761</v>
      </c>
      <c r="R42" s="302" t="s">
        <v>787</v>
      </c>
      <c r="S42" s="302" t="s">
        <v>885</v>
      </c>
      <c r="T42" s="302" t="s">
        <v>892</v>
      </c>
      <c r="U42" s="303" t="s">
        <v>886</v>
      </c>
      <c r="V42" s="305" t="s">
        <v>893</v>
      </c>
    </row>
    <row r="43" spans="1:22" ht="60.75" thickBot="1" x14ac:dyDescent="0.3">
      <c r="A43" s="605"/>
      <c r="B43" s="608"/>
      <c r="C43" s="608"/>
      <c r="D43" s="608"/>
      <c r="E43" s="608"/>
      <c r="F43" s="608"/>
      <c r="G43" s="608"/>
      <c r="H43" s="599"/>
      <c r="I43" s="602"/>
      <c r="J43" s="578"/>
      <c r="K43" s="578"/>
      <c r="L43" s="578"/>
      <c r="M43" s="581"/>
      <c r="N43" s="306" t="s">
        <v>894</v>
      </c>
      <c r="O43" s="307" t="s">
        <v>895</v>
      </c>
      <c r="P43" s="307" t="str">
        <f>O43</f>
        <v>14th May 24</v>
      </c>
      <c r="Q43" s="307" t="s">
        <v>761</v>
      </c>
      <c r="R43" s="307" t="s">
        <v>787</v>
      </c>
      <c r="S43" s="307" t="s">
        <v>885</v>
      </c>
      <c r="T43" s="307" t="s">
        <v>763</v>
      </c>
      <c r="U43" s="308" t="s">
        <v>886</v>
      </c>
      <c r="V43" s="309" t="s">
        <v>896</v>
      </c>
    </row>
    <row r="44" spans="1:22" x14ac:dyDescent="0.25">
      <c r="B44" s="287">
        <f t="shared" ref="B44:J44" si="3">B40</f>
        <v>672</v>
      </c>
      <c r="C44" s="287">
        <f t="shared" si="3"/>
        <v>0</v>
      </c>
      <c r="D44" s="287">
        <f t="shared" si="3"/>
        <v>285</v>
      </c>
      <c r="E44" s="287">
        <f t="shared" si="3"/>
        <v>260</v>
      </c>
      <c r="F44" s="287">
        <f t="shared" si="3"/>
        <v>195</v>
      </c>
      <c r="G44" s="287">
        <f t="shared" si="3"/>
        <v>400</v>
      </c>
      <c r="H44" s="287">
        <f t="shared" si="3"/>
        <v>855</v>
      </c>
      <c r="I44" s="287">
        <f t="shared" si="3"/>
        <v>855</v>
      </c>
      <c r="J44" s="287">
        <f t="shared" si="3"/>
        <v>0</v>
      </c>
      <c r="K44" s="287">
        <v>3</v>
      </c>
      <c r="L44" s="287"/>
      <c r="M44" s="290"/>
      <c r="N44" s="291"/>
      <c r="O44" s="292"/>
      <c r="P44" s="292"/>
      <c r="Q44" s="292"/>
      <c r="R44" s="292"/>
      <c r="S44" s="292"/>
      <c r="T44" s="292"/>
      <c r="U44" s="292"/>
      <c r="V44" s="293"/>
    </row>
    <row r="45" spans="1:22" ht="16.5" thickBot="1" x14ac:dyDescent="0.3">
      <c r="J45" s="294"/>
      <c r="K45" s="294"/>
      <c r="L45" s="294"/>
      <c r="M45" s="250"/>
      <c r="N45" s="251"/>
      <c r="O45" s="295"/>
      <c r="P45" s="295"/>
      <c r="Q45" s="295"/>
      <c r="R45" s="295"/>
      <c r="S45" s="295"/>
      <c r="T45" s="295"/>
      <c r="U45" s="295"/>
      <c r="V45" s="296"/>
    </row>
    <row r="46" spans="1:22" ht="75" x14ac:dyDescent="0.25">
      <c r="A46" s="537" t="s">
        <v>3</v>
      </c>
      <c r="B46" s="540">
        <v>384</v>
      </c>
      <c r="C46" s="540">
        <v>0</v>
      </c>
      <c r="D46" s="540">
        <v>228</v>
      </c>
      <c r="E46" s="540">
        <v>28</v>
      </c>
      <c r="F46" s="540">
        <v>400</v>
      </c>
      <c r="G46" s="615">
        <v>142</v>
      </c>
      <c r="H46" s="561">
        <f>C46+E46+F46+G46</f>
        <v>570</v>
      </c>
      <c r="I46" s="617">
        <v>570</v>
      </c>
      <c r="J46" s="619">
        <f>H46-I46</f>
        <v>0</v>
      </c>
      <c r="K46" s="619">
        <v>2</v>
      </c>
      <c r="L46" s="619"/>
      <c r="M46" s="609" t="s">
        <v>897</v>
      </c>
      <c r="N46" s="274" t="s">
        <v>898</v>
      </c>
      <c r="O46" s="310" t="s">
        <v>753</v>
      </c>
      <c r="P46" s="310" t="str">
        <f>O46</f>
        <v>15th May 24</v>
      </c>
      <c r="Q46" s="310" t="s">
        <v>880</v>
      </c>
      <c r="R46" s="310" t="s">
        <v>796</v>
      </c>
      <c r="S46" s="310" t="s">
        <v>812</v>
      </c>
      <c r="T46" s="310" t="s">
        <v>844</v>
      </c>
      <c r="U46" s="311" t="s">
        <v>899</v>
      </c>
      <c r="V46" s="312"/>
    </row>
    <row r="47" spans="1:22" ht="60.75" thickBot="1" x14ac:dyDescent="0.3">
      <c r="A47" s="539"/>
      <c r="B47" s="542"/>
      <c r="C47" s="542"/>
      <c r="D47" s="542"/>
      <c r="E47" s="542"/>
      <c r="F47" s="542"/>
      <c r="G47" s="616"/>
      <c r="H47" s="563"/>
      <c r="I47" s="618"/>
      <c r="J47" s="620"/>
      <c r="K47" s="620"/>
      <c r="L47" s="620"/>
      <c r="M47" s="610"/>
      <c r="N47" s="313" t="s">
        <v>900</v>
      </c>
      <c r="O47" s="314" t="s">
        <v>760</v>
      </c>
      <c r="P47" s="314" t="str">
        <f>O47</f>
        <v>10th May 24</v>
      </c>
      <c r="Q47" s="314" t="s">
        <v>901</v>
      </c>
      <c r="R47" s="314" t="s">
        <v>787</v>
      </c>
      <c r="S47" s="314" t="s">
        <v>880</v>
      </c>
      <c r="T47" s="314" t="str">
        <f>S47</f>
        <v>10th June 24</v>
      </c>
      <c r="U47" s="315" t="s">
        <v>902</v>
      </c>
      <c r="V47" s="316"/>
    </row>
    <row r="48" spans="1:22" ht="60" x14ac:dyDescent="0.25">
      <c r="A48" s="317" t="s">
        <v>903</v>
      </c>
      <c r="B48" s="287">
        <v>1248</v>
      </c>
      <c r="C48" s="287">
        <v>92.8</v>
      </c>
      <c r="D48" s="287">
        <v>91.16</v>
      </c>
      <c r="E48" s="287">
        <v>91.16</v>
      </c>
      <c r="F48" s="287">
        <v>250</v>
      </c>
      <c r="G48" s="287">
        <v>300</v>
      </c>
      <c r="H48" s="318">
        <f t="shared" ref="H48:H51" si="4">C48+E48+F48+G48</f>
        <v>733.96</v>
      </c>
      <c r="I48" s="319">
        <v>997.5</v>
      </c>
      <c r="J48" s="320">
        <f t="shared" ref="J48:J52" si="5">H48-I48</f>
        <v>-263.53999999999996</v>
      </c>
      <c r="K48" s="320">
        <v>3.5</v>
      </c>
      <c r="L48" s="320"/>
      <c r="M48" s="290" t="s">
        <v>904</v>
      </c>
      <c r="N48" s="291"/>
      <c r="O48" s="611" t="s">
        <v>905</v>
      </c>
      <c r="P48" s="612"/>
      <c r="Q48" s="612"/>
      <c r="R48" s="612"/>
      <c r="S48" s="612"/>
      <c r="T48" s="612"/>
      <c r="U48" s="612"/>
      <c r="V48" s="613"/>
    </row>
    <row r="49" spans="1:22" ht="38.25" x14ac:dyDescent="0.25">
      <c r="A49" s="225" t="s">
        <v>906</v>
      </c>
      <c r="B49" s="226">
        <v>50</v>
      </c>
      <c r="C49" s="226">
        <v>0</v>
      </c>
      <c r="D49" s="226">
        <v>85.22</v>
      </c>
      <c r="E49" s="226">
        <v>85.22</v>
      </c>
      <c r="F49" s="226">
        <v>0</v>
      </c>
      <c r="G49" s="226">
        <v>0</v>
      </c>
      <c r="H49" s="227">
        <f t="shared" si="4"/>
        <v>85.22</v>
      </c>
      <c r="I49" s="228">
        <v>85.22</v>
      </c>
      <c r="J49" s="321">
        <f t="shared" si="5"/>
        <v>0</v>
      </c>
      <c r="K49" s="321">
        <v>0.29899999999999999</v>
      </c>
      <c r="L49" s="321"/>
      <c r="M49" s="233" t="s">
        <v>907</v>
      </c>
      <c r="N49" s="234" t="s">
        <v>908</v>
      </c>
      <c r="O49" s="493" t="s">
        <v>816</v>
      </c>
      <c r="P49" s="494"/>
      <c r="Q49" s="494"/>
      <c r="R49" s="494"/>
      <c r="S49" s="494"/>
      <c r="T49" s="494"/>
      <c r="U49" s="495"/>
      <c r="V49" s="243">
        <v>45444</v>
      </c>
    </row>
    <row r="50" spans="1:22" ht="30" x14ac:dyDescent="0.25">
      <c r="A50" s="225" t="s">
        <v>909</v>
      </c>
      <c r="B50" s="226">
        <v>150</v>
      </c>
      <c r="C50" s="226">
        <v>13.11</v>
      </c>
      <c r="D50" s="226">
        <v>49.87</v>
      </c>
      <c r="E50" s="226">
        <v>49.87</v>
      </c>
      <c r="F50" s="226">
        <v>79.52</v>
      </c>
      <c r="G50" s="226">
        <v>0</v>
      </c>
      <c r="H50" s="227">
        <f t="shared" si="4"/>
        <v>142.5</v>
      </c>
      <c r="I50" s="228">
        <v>142.50200000000001</v>
      </c>
      <c r="J50" s="321">
        <f t="shared" si="5"/>
        <v>-2.0000000000095497E-3</v>
      </c>
      <c r="K50" s="321">
        <v>0.5</v>
      </c>
      <c r="L50" s="321"/>
      <c r="M50" s="233" t="s">
        <v>910</v>
      </c>
      <c r="N50" s="234" t="s">
        <v>911</v>
      </c>
      <c r="O50" s="493" t="s">
        <v>905</v>
      </c>
      <c r="P50" s="494"/>
      <c r="Q50" s="494"/>
      <c r="R50" s="494"/>
      <c r="S50" s="494"/>
      <c r="T50" s="494"/>
      <c r="U50" s="495"/>
      <c r="V50" s="243">
        <v>45627</v>
      </c>
    </row>
    <row r="51" spans="1:22" ht="30" x14ac:dyDescent="0.25">
      <c r="A51" s="225" t="s">
        <v>419</v>
      </c>
      <c r="B51" s="226">
        <v>0</v>
      </c>
      <c r="C51" s="226">
        <v>0</v>
      </c>
      <c r="D51" s="226">
        <v>63.1</v>
      </c>
      <c r="E51" s="226">
        <v>30</v>
      </c>
      <c r="F51" s="226">
        <v>50</v>
      </c>
      <c r="G51" s="226">
        <v>128.70500000000001</v>
      </c>
      <c r="H51" s="227">
        <f t="shared" si="4"/>
        <v>208.70500000000001</v>
      </c>
      <c r="I51" s="228">
        <v>210.36</v>
      </c>
      <c r="J51" s="321">
        <f t="shared" si="5"/>
        <v>-1.6550000000000011</v>
      </c>
      <c r="K51" s="321">
        <v>0.73799999999999999</v>
      </c>
      <c r="L51" s="321"/>
      <c r="M51" s="233" t="s">
        <v>912</v>
      </c>
      <c r="N51" s="234" t="s">
        <v>913</v>
      </c>
      <c r="O51" s="496" t="s">
        <v>914</v>
      </c>
      <c r="P51" s="497"/>
      <c r="Q51" s="497"/>
      <c r="R51" s="497"/>
      <c r="S51" s="497"/>
      <c r="T51" s="497"/>
      <c r="U51" s="498"/>
      <c r="V51" s="243">
        <v>45809</v>
      </c>
    </row>
    <row r="52" spans="1:22" x14ac:dyDescent="0.25">
      <c r="B52" s="226">
        <f>SUM(B46:B51)</f>
        <v>1832</v>
      </c>
      <c r="C52" s="226">
        <f t="shared" ref="C52:I52" si="6">SUM(C46:C51)</f>
        <v>105.91</v>
      </c>
      <c r="D52" s="226">
        <f t="shared" si="6"/>
        <v>517.35</v>
      </c>
      <c r="E52" s="226">
        <f t="shared" si="6"/>
        <v>284.25</v>
      </c>
      <c r="F52" s="226">
        <f t="shared" si="6"/>
        <v>779.52</v>
      </c>
      <c r="G52" s="226">
        <f t="shared" si="6"/>
        <v>570.70500000000004</v>
      </c>
      <c r="H52" s="226">
        <f t="shared" si="6"/>
        <v>1740.385</v>
      </c>
      <c r="I52" s="226">
        <f t="shared" si="6"/>
        <v>2005.5819999999999</v>
      </c>
      <c r="J52" s="321">
        <f t="shared" si="5"/>
        <v>-265.19699999999989</v>
      </c>
      <c r="K52" s="321">
        <f>SUM(K46:K51)</f>
        <v>7.0370000000000008</v>
      </c>
      <c r="L52" s="321"/>
      <c r="M52" s="233"/>
      <c r="N52" s="234"/>
      <c r="O52" s="614"/>
      <c r="P52" s="614"/>
      <c r="Q52" s="614"/>
      <c r="R52" s="614"/>
      <c r="S52" s="614"/>
      <c r="T52" s="614"/>
      <c r="U52" s="614"/>
      <c r="V52" s="614"/>
    </row>
    <row r="53" spans="1:22" ht="16.5" thickBot="1" x14ac:dyDescent="0.3">
      <c r="J53" s="294"/>
      <c r="K53" s="294"/>
      <c r="L53" s="294"/>
      <c r="M53" s="250"/>
      <c r="N53" s="251"/>
      <c r="O53" s="629"/>
      <c r="P53" s="629"/>
      <c r="Q53" s="629"/>
      <c r="R53" s="629"/>
      <c r="S53" s="629"/>
      <c r="T53" s="629"/>
      <c r="U53" s="629"/>
      <c r="V53" s="629"/>
    </row>
    <row r="54" spans="1:22" ht="72" x14ac:dyDescent="0.25">
      <c r="A54" s="593" t="s">
        <v>420</v>
      </c>
      <c r="B54" s="595">
        <v>312</v>
      </c>
      <c r="C54" s="595">
        <v>0</v>
      </c>
      <c r="D54" s="595">
        <v>99</v>
      </c>
      <c r="E54" s="595">
        <v>30</v>
      </c>
      <c r="F54" s="595">
        <v>70</v>
      </c>
      <c r="G54" s="595">
        <v>100</v>
      </c>
      <c r="H54" s="587">
        <f>C54+E54+F54+G54</f>
        <v>200</v>
      </c>
      <c r="I54" s="630">
        <v>100</v>
      </c>
      <c r="J54" s="621">
        <f>H54-I54</f>
        <v>100</v>
      </c>
      <c r="K54" s="621">
        <v>0.35099999999999998</v>
      </c>
      <c r="L54" s="621"/>
      <c r="M54" s="623" t="s">
        <v>915</v>
      </c>
      <c r="N54" s="282" t="s">
        <v>916</v>
      </c>
      <c r="O54" s="285" t="s">
        <v>767</v>
      </c>
      <c r="P54" s="322" t="s">
        <v>917</v>
      </c>
      <c r="Q54" s="285" t="s">
        <v>918</v>
      </c>
      <c r="R54" s="285" t="s">
        <v>763</v>
      </c>
      <c r="S54" s="285" t="s">
        <v>919</v>
      </c>
      <c r="T54" s="285" t="s">
        <v>764</v>
      </c>
      <c r="U54" s="285" t="s">
        <v>920</v>
      </c>
      <c r="V54" s="323">
        <v>45809</v>
      </c>
    </row>
    <row r="55" spans="1:22" ht="60.75" thickBot="1" x14ac:dyDescent="0.3">
      <c r="A55" s="594"/>
      <c r="B55" s="596"/>
      <c r="C55" s="596"/>
      <c r="D55" s="596"/>
      <c r="E55" s="596"/>
      <c r="F55" s="596"/>
      <c r="G55" s="596"/>
      <c r="H55" s="588"/>
      <c r="I55" s="631"/>
      <c r="J55" s="622"/>
      <c r="K55" s="622"/>
      <c r="L55" s="622"/>
      <c r="M55" s="624"/>
      <c r="N55" s="324" t="s">
        <v>921</v>
      </c>
      <c r="O55" s="625" t="s">
        <v>922</v>
      </c>
      <c r="P55" s="626"/>
      <c r="Q55" s="626"/>
      <c r="R55" s="626"/>
      <c r="S55" s="626"/>
      <c r="T55" s="627"/>
      <c r="U55" s="325"/>
      <c r="V55" s="326"/>
    </row>
    <row r="56" spans="1:22" ht="30" x14ac:dyDescent="0.25">
      <c r="A56" s="317" t="s">
        <v>923</v>
      </c>
      <c r="B56" s="287">
        <v>785</v>
      </c>
      <c r="C56" s="287">
        <v>0</v>
      </c>
      <c r="D56" s="287">
        <v>0</v>
      </c>
      <c r="E56" s="287">
        <v>0</v>
      </c>
      <c r="F56" s="287">
        <v>0</v>
      </c>
      <c r="G56" s="287">
        <v>0</v>
      </c>
      <c r="H56" s="318">
        <f>C56+E56+F56+G56</f>
        <v>0</v>
      </c>
      <c r="I56" s="319">
        <v>285</v>
      </c>
      <c r="J56" s="320">
        <f>H56-I56</f>
        <v>-285</v>
      </c>
      <c r="K56" s="320">
        <v>1</v>
      </c>
      <c r="L56" s="320"/>
      <c r="M56" s="290" t="s">
        <v>924</v>
      </c>
      <c r="N56" s="291"/>
      <c r="O56" s="628"/>
      <c r="P56" s="628"/>
      <c r="Q56" s="628"/>
      <c r="R56" s="628"/>
      <c r="S56" s="628"/>
      <c r="T56" s="628"/>
      <c r="U56" s="628"/>
      <c r="V56" s="628"/>
    </row>
    <row r="57" spans="1:22" x14ac:dyDescent="0.25">
      <c r="B57" s="226">
        <f>SUM(B54:B56)</f>
        <v>1097</v>
      </c>
      <c r="C57" s="226">
        <f t="shared" ref="C57:J57" si="7">SUM(C54:C56)</f>
        <v>0</v>
      </c>
      <c r="D57" s="226">
        <f t="shared" si="7"/>
        <v>99</v>
      </c>
      <c r="E57" s="226">
        <f t="shared" si="7"/>
        <v>30</v>
      </c>
      <c r="F57" s="226">
        <f t="shared" si="7"/>
        <v>70</v>
      </c>
      <c r="G57" s="226">
        <f t="shared" si="7"/>
        <v>100</v>
      </c>
      <c r="H57" s="226">
        <f t="shared" si="7"/>
        <v>200</v>
      </c>
      <c r="I57" s="226">
        <f t="shared" si="7"/>
        <v>385</v>
      </c>
      <c r="J57" s="226">
        <f t="shared" si="7"/>
        <v>-185</v>
      </c>
      <c r="K57" s="226">
        <f>SUM(K54:K56)</f>
        <v>1.351</v>
      </c>
      <c r="L57" s="226"/>
      <c r="M57" s="233"/>
      <c r="N57" s="234"/>
      <c r="O57" s="614"/>
      <c r="P57" s="614"/>
      <c r="Q57" s="614"/>
      <c r="R57" s="614"/>
      <c r="S57" s="614"/>
      <c r="T57" s="614"/>
      <c r="U57" s="614"/>
      <c r="V57" s="614"/>
    </row>
    <row r="58" spans="1:22" ht="16.5" thickBot="1" x14ac:dyDescent="0.3">
      <c r="J58" s="294"/>
      <c r="K58" s="294"/>
      <c r="L58" s="294"/>
      <c r="M58" s="250"/>
      <c r="N58" s="251"/>
      <c r="O58" s="629"/>
      <c r="P58" s="629"/>
      <c r="Q58" s="629"/>
      <c r="R58" s="629"/>
      <c r="S58" s="629"/>
      <c r="T58" s="629"/>
      <c r="U58" s="629"/>
      <c r="V58" s="629"/>
    </row>
    <row r="59" spans="1:22" ht="38.25" x14ac:dyDescent="0.25">
      <c r="A59" s="641" t="s">
        <v>925</v>
      </c>
      <c r="B59" s="644">
        <v>0</v>
      </c>
      <c r="C59" s="644">
        <v>0</v>
      </c>
      <c r="D59" s="644">
        <v>570</v>
      </c>
      <c r="E59" s="644">
        <v>100</v>
      </c>
      <c r="F59" s="644">
        <v>470</v>
      </c>
      <c r="G59" s="644">
        <v>0</v>
      </c>
      <c r="H59" s="647">
        <f>C59+E59+F59+G59</f>
        <v>570</v>
      </c>
      <c r="I59" s="632">
        <v>570</v>
      </c>
      <c r="J59" s="632">
        <f>H59-I59</f>
        <v>0</v>
      </c>
      <c r="K59" s="632">
        <v>2</v>
      </c>
      <c r="L59" s="632"/>
      <c r="M59" s="635" t="s">
        <v>926</v>
      </c>
      <c r="N59" s="327" t="s">
        <v>927</v>
      </c>
      <c r="O59" s="328" t="s">
        <v>760</v>
      </c>
      <c r="P59" s="638" t="s">
        <v>752</v>
      </c>
      <c r="Q59" s="639"/>
      <c r="R59" s="639"/>
      <c r="S59" s="640"/>
      <c r="T59" s="328" t="s">
        <v>928</v>
      </c>
      <c r="U59" s="328" t="s">
        <v>754</v>
      </c>
      <c r="V59" s="329" t="s">
        <v>763</v>
      </c>
    </row>
    <row r="60" spans="1:22" ht="63.75" x14ac:dyDescent="0.25">
      <c r="A60" s="642"/>
      <c r="B60" s="645"/>
      <c r="C60" s="645"/>
      <c r="D60" s="645"/>
      <c r="E60" s="645"/>
      <c r="F60" s="645"/>
      <c r="G60" s="645"/>
      <c r="H60" s="648"/>
      <c r="I60" s="633"/>
      <c r="J60" s="633"/>
      <c r="K60" s="633"/>
      <c r="L60" s="633"/>
      <c r="M60" s="636"/>
      <c r="N60" s="330" t="s">
        <v>929</v>
      </c>
      <c r="O60" s="331" t="s">
        <v>760</v>
      </c>
      <c r="P60" s="331" t="s">
        <v>842</v>
      </c>
      <c r="Q60" s="331" t="s">
        <v>777</v>
      </c>
      <c r="R60" s="331" t="s">
        <v>770</v>
      </c>
      <c r="S60" s="331" t="s">
        <v>843</v>
      </c>
      <c r="T60" s="331" t="s">
        <v>844</v>
      </c>
      <c r="U60" s="332" t="s">
        <v>845</v>
      </c>
      <c r="V60" s="333" t="s">
        <v>930</v>
      </c>
    </row>
    <row r="61" spans="1:22" ht="39" thickBot="1" x14ac:dyDescent="0.3">
      <c r="A61" s="643"/>
      <c r="B61" s="646"/>
      <c r="C61" s="646"/>
      <c r="D61" s="646"/>
      <c r="E61" s="646"/>
      <c r="F61" s="646"/>
      <c r="G61" s="646"/>
      <c r="H61" s="649"/>
      <c r="I61" s="634"/>
      <c r="J61" s="634"/>
      <c r="K61" s="634"/>
      <c r="L61" s="634"/>
      <c r="M61" s="637"/>
      <c r="N61" s="334" t="s">
        <v>931</v>
      </c>
      <c r="O61" s="335" t="s">
        <v>760</v>
      </c>
      <c r="P61" s="335" t="str">
        <f>O61</f>
        <v>10th May 24</v>
      </c>
      <c r="Q61" s="335" t="s">
        <v>832</v>
      </c>
      <c r="R61" s="335" t="s">
        <v>880</v>
      </c>
      <c r="S61" s="335" t="s">
        <v>770</v>
      </c>
      <c r="T61" s="335" t="s">
        <v>796</v>
      </c>
      <c r="U61" s="336" t="s">
        <v>889</v>
      </c>
      <c r="V61" s="337" t="s">
        <v>932</v>
      </c>
    </row>
    <row r="62" spans="1:22" ht="45" x14ac:dyDescent="0.25">
      <c r="A62" s="503" t="s">
        <v>933</v>
      </c>
      <c r="B62" s="506">
        <v>0</v>
      </c>
      <c r="C62" s="506">
        <v>0</v>
      </c>
      <c r="D62" s="506">
        <v>400</v>
      </c>
      <c r="E62" s="506">
        <v>50</v>
      </c>
      <c r="F62" s="506">
        <v>1500</v>
      </c>
      <c r="G62" s="506">
        <v>730</v>
      </c>
      <c r="H62" s="510">
        <f t="shared" ref="H62:H65" si="8">C62+E62+F62+G62</f>
        <v>2280</v>
      </c>
      <c r="I62" s="510">
        <v>2280</v>
      </c>
      <c r="J62" s="655">
        <f t="shared" ref="J62" si="9">H62-I62</f>
        <v>0</v>
      </c>
      <c r="K62" s="655">
        <v>8</v>
      </c>
      <c r="L62" s="655"/>
      <c r="M62" s="522" t="s">
        <v>934</v>
      </c>
      <c r="N62" s="338" t="s">
        <v>935</v>
      </c>
      <c r="O62" s="650" t="s">
        <v>936</v>
      </c>
      <c r="P62" s="651"/>
      <c r="Q62" s="651"/>
      <c r="R62" s="651"/>
      <c r="S62" s="651"/>
      <c r="T62" s="651"/>
      <c r="U62" s="652"/>
      <c r="V62" s="339">
        <v>45809</v>
      </c>
    </row>
    <row r="63" spans="1:22" ht="105" x14ac:dyDescent="0.25">
      <c r="A63" s="504"/>
      <c r="B63" s="507"/>
      <c r="C63" s="507"/>
      <c r="D63" s="507"/>
      <c r="E63" s="507"/>
      <c r="F63" s="507"/>
      <c r="G63" s="507"/>
      <c r="H63" s="511"/>
      <c r="I63" s="511"/>
      <c r="J63" s="656"/>
      <c r="K63" s="656"/>
      <c r="L63" s="656"/>
      <c r="M63" s="523"/>
      <c r="N63" s="256" t="s">
        <v>937</v>
      </c>
      <c r="O63" s="257" t="s">
        <v>764</v>
      </c>
      <c r="P63" s="257" t="str">
        <f>O63</f>
        <v>30th June 24</v>
      </c>
      <c r="Q63" s="257" t="s">
        <v>844</v>
      </c>
      <c r="R63" s="257" t="s">
        <v>938</v>
      </c>
      <c r="S63" s="257" t="s">
        <v>939</v>
      </c>
      <c r="T63" s="257" t="s">
        <v>940</v>
      </c>
      <c r="U63" s="258" t="s">
        <v>859</v>
      </c>
      <c r="V63" s="340" t="s">
        <v>860</v>
      </c>
    </row>
    <row r="64" spans="1:22" ht="90.75" thickBot="1" x14ac:dyDescent="0.3">
      <c r="A64" s="505"/>
      <c r="B64" s="508"/>
      <c r="C64" s="508"/>
      <c r="D64" s="508"/>
      <c r="E64" s="508"/>
      <c r="F64" s="508"/>
      <c r="G64" s="508"/>
      <c r="H64" s="512"/>
      <c r="I64" s="512"/>
      <c r="J64" s="657"/>
      <c r="K64" s="657"/>
      <c r="L64" s="657"/>
      <c r="M64" s="524"/>
      <c r="N64" s="261" t="s">
        <v>941</v>
      </c>
      <c r="O64" s="341" t="s">
        <v>942</v>
      </c>
      <c r="P64" s="262" t="str">
        <f>O64</f>
        <v>1st Sep 24</v>
      </c>
      <c r="Q64" s="262" t="s">
        <v>943</v>
      </c>
      <c r="R64" s="262" t="s">
        <v>856</v>
      </c>
      <c r="S64" s="262" t="s">
        <v>944</v>
      </c>
      <c r="T64" s="262" t="s">
        <v>945</v>
      </c>
      <c r="U64" s="263" t="s">
        <v>946</v>
      </c>
      <c r="V64" s="264" t="s">
        <v>947</v>
      </c>
    </row>
    <row r="65" spans="2:22" x14ac:dyDescent="0.25">
      <c r="B65" s="287">
        <f t="shared" ref="B65:G65" si="10">SUM(B59:B62)</f>
        <v>0</v>
      </c>
      <c r="C65" s="287">
        <f t="shared" si="10"/>
        <v>0</v>
      </c>
      <c r="D65" s="287">
        <f t="shared" si="10"/>
        <v>970</v>
      </c>
      <c r="E65" s="287">
        <f t="shared" si="10"/>
        <v>150</v>
      </c>
      <c r="F65" s="287">
        <f t="shared" si="10"/>
        <v>1970</v>
      </c>
      <c r="G65" s="287">
        <f t="shared" si="10"/>
        <v>730</v>
      </c>
      <c r="H65" s="318">
        <f t="shared" si="8"/>
        <v>2850</v>
      </c>
      <c r="I65" s="287">
        <f>SUM(I59:I62)</f>
        <v>2850</v>
      </c>
      <c r="J65" s="287">
        <f>SUM(J59:J62)</f>
        <v>0</v>
      </c>
      <c r="K65" s="287">
        <v>0.06</v>
      </c>
      <c r="L65" s="287"/>
      <c r="M65" s="290"/>
      <c r="N65" s="291"/>
      <c r="O65" s="628"/>
      <c r="P65" s="628"/>
      <c r="Q65" s="628"/>
      <c r="R65" s="628"/>
      <c r="S65" s="628"/>
      <c r="T65" s="628"/>
      <c r="U65" s="628"/>
      <c r="V65" s="628"/>
    </row>
    <row r="66" spans="2:22" ht="30" x14ac:dyDescent="0.25">
      <c r="B66" s="214">
        <f t="shared" ref="B66:H66" si="11">B65+B57+B52+B44+B38</f>
        <v>12584.12</v>
      </c>
      <c r="C66" s="214">
        <f t="shared" si="11"/>
        <v>364.63</v>
      </c>
      <c r="D66" s="214">
        <f t="shared" si="11"/>
        <v>8471.85</v>
      </c>
      <c r="E66" s="214">
        <f t="shared" si="11"/>
        <v>4125.12</v>
      </c>
      <c r="F66" s="214">
        <f t="shared" si="11"/>
        <v>10289.035</v>
      </c>
      <c r="G66" s="214">
        <f t="shared" si="11"/>
        <v>9430.7049999999999</v>
      </c>
      <c r="H66" s="214">
        <f t="shared" si="11"/>
        <v>24209.490000000005</v>
      </c>
      <c r="I66" s="214">
        <f>(I65+I57+I52+I44+I38)-1.131</f>
        <v>24207.800000000003</v>
      </c>
      <c r="J66" s="214">
        <v>0</v>
      </c>
      <c r="K66" s="214">
        <f>SUM(K59:K65)</f>
        <v>10.06</v>
      </c>
      <c r="L66" s="214"/>
      <c r="M66" s="219" t="s">
        <v>948</v>
      </c>
      <c r="N66" s="342"/>
      <c r="O66" s="653"/>
      <c r="P66" s="653"/>
      <c r="Q66" s="653"/>
      <c r="R66" s="653"/>
      <c r="S66" s="653"/>
      <c r="T66" s="653"/>
      <c r="U66" s="653"/>
      <c r="V66" s="653"/>
    </row>
    <row r="67" spans="2:22" x14ac:dyDescent="0.25">
      <c r="B67" s="215">
        <v>85</v>
      </c>
      <c r="C67" s="343">
        <v>1.28</v>
      </c>
      <c r="D67" s="344">
        <f>D66/285</f>
        <v>29.725789473684213</v>
      </c>
      <c r="E67" s="344">
        <f t="shared" ref="E67:J67" si="12">E66/285</f>
        <v>14.474105263157893</v>
      </c>
      <c r="F67" s="344">
        <f t="shared" si="12"/>
        <v>36.101877192982457</v>
      </c>
      <c r="G67" s="344">
        <f t="shared" si="12"/>
        <v>33.090192982456138</v>
      </c>
      <c r="H67" s="344">
        <f t="shared" si="12"/>
        <v>84.945578947368446</v>
      </c>
      <c r="I67" s="344">
        <f t="shared" si="12"/>
        <v>84.939649122807026</v>
      </c>
      <c r="J67" s="345">
        <f t="shared" si="12"/>
        <v>0</v>
      </c>
      <c r="K67" s="346">
        <f>K66+K57+K52+K44+K38</f>
        <v>85</v>
      </c>
      <c r="L67" s="345"/>
      <c r="M67" s="347"/>
      <c r="N67" s="224"/>
      <c r="O67" s="654"/>
      <c r="P67" s="654"/>
      <c r="Q67" s="654"/>
      <c r="R67" s="654"/>
      <c r="S67" s="654"/>
      <c r="T67" s="654"/>
      <c r="U67" s="654"/>
      <c r="V67" s="654"/>
    </row>
  </sheetData>
  <mergeCells count="163">
    <mergeCell ref="M62:M64"/>
    <mergeCell ref="O62:U62"/>
    <mergeCell ref="O65:V65"/>
    <mergeCell ref="O66:V66"/>
    <mergeCell ref="O67:V67"/>
    <mergeCell ref="G62:G64"/>
    <mergeCell ref="H62:H64"/>
    <mergeCell ref="I62:I64"/>
    <mergeCell ref="J62:J64"/>
    <mergeCell ref="K62:K64"/>
    <mergeCell ref="L62:L64"/>
    <mergeCell ref="A62:A64"/>
    <mergeCell ref="B62:B64"/>
    <mergeCell ref="C62:C64"/>
    <mergeCell ref="D62:D64"/>
    <mergeCell ref="E62:E64"/>
    <mergeCell ref="F62:F64"/>
    <mergeCell ref="I59:I61"/>
    <mergeCell ref="J59:J61"/>
    <mergeCell ref="K59:K61"/>
    <mergeCell ref="L59:L61"/>
    <mergeCell ref="M59:M61"/>
    <mergeCell ref="P59:S59"/>
    <mergeCell ref="O57:V57"/>
    <mergeCell ref="O58:V58"/>
    <mergeCell ref="A59:A61"/>
    <mergeCell ref="B59:B61"/>
    <mergeCell ref="C59:C61"/>
    <mergeCell ref="D59:D61"/>
    <mergeCell ref="E59:E61"/>
    <mergeCell ref="F59:F61"/>
    <mergeCell ref="G59:G61"/>
    <mergeCell ref="H59:H61"/>
    <mergeCell ref="J54:J55"/>
    <mergeCell ref="K54:K55"/>
    <mergeCell ref="L54:L55"/>
    <mergeCell ref="M54:M55"/>
    <mergeCell ref="O55:T55"/>
    <mergeCell ref="O56:V56"/>
    <mergeCell ref="O53:V53"/>
    <mergeCell ref="A54:A55"/>
    <mergeCell ref="B54:B55"/>
    <mergeCell ref="C54:C55"/>
    <mergeCell ref="D54:D55"/>
    <mergeCell ref="E54:E55"/>
    <mergeCell ref="F54:F55"/>
    <mergeCell ref="G54:G55"/>
    <mergeCell ref="H54:H55"/>
    <mergeCell ref="I54:I55"/>
    <mergeCell ref="M46:M47"/>
    <mergeCell ref="O48:V48"/>
    <mergeCell ref="O49:U49"/>
    <mergeCell ref="O50:U50"/>
    <mergeCell ref="O51:U51"/>
    <mergeCell ref="O52:V52"/>
    <mergeCell ref="G46:G47"/>
    <mergeCell ref="H46:H47"/>
    <mergeCell ref="I46:I47"/>
    <mergeCell ref="J46:J47"/>
    <mergeCell ref="K46:K47"/>
    <mergeCell ref="L46:L47"/>
    <mergeCell ref="A46:A47"/>
    <mergeCell ref="B46:B47"/>
    <mergeCell ref="C46:C47"/>
    <mergeCell ref="D46:D47"/>
    <mergeCell ref="E46:E47"/>
    <mergeCell ref="F46:F47"/>
    <mergeCell ref="H40:H43"/>
    <mergeCell ref="I40:I43"/>
    <mergeCell ref="J40:J43"/>
    <mergeCell ref="A40:A43"/>
    <mergeCell ref="B40:B43"/>
    <mergeCell ref="C40:C43"/>
    <mergeCell ref="D40:D43"/>
    <mergeCell ref="E40:E43"/>
    <mergeCell ref="F40:F43"/>
    <mergeCell ref="G40:G43"/>
    <mergeCell ref="H36:H37"/>
    <mergeCell ref="I36:I37"/>
    <mergeCell ref="J36:J37"/>
    <mergeCell ref="K36:K37"/>
    <mergeCell ref="A36:A37"/>
    <mergeCell ref="B36:B37"/>
    <mergeCell ref="C36:C37"/>
    <mergeCell ref="D36:D37"/>
    <mergeCell ref="E36:E37"/>
    <mergeCell ref="F36:F37"/>
    <mergeCell ref="G36:G37"/>
    <mergeCell ref="J25:J31"/>
    <mergeCell ref="K25:K31"/>
    <mergeCell ref="L25:L31"/>
    <mergeCell ref="M25:M31"/>
    <mergeCell ref="N31:V31"/>
    <mergeCell ref="K40:K43"/>
    <mergeCell ref="L40:L43"/>
    <mergeCell ref="M40:M43"/>
    <mergeCell ref="L36:L37"/>
    <mergeCell ref="M36:M37"/>
    <mergeCell ref="N37:V37"/>
    <mergeCell ref="A32:A35"/>
    <mergeCell ref="B32:B35"/>
    <mergeCell ref="C32:C35"/>
    <mergeCell ref="D32:D35"/>
    <mergeCell ref="E32:E35"/>
    <mergeCell ref="L32:L35"/>
    <mergeCell ref="M32:M35"/>
    <mergeCell ref="O32:U32"/>
    <mergeCell ref="O34:U34"/>
    <mergeCell ref="N35:V35"/>
    <mergeCell ref="J32:J35"/>
    <mergeCell ref="K32:K35"/>
    <mergeCell ref="F32:F35"/>
    <mergeCell ref="G32:G35"/>
    <mergeCell ref="H32:H35"/>
    <mergeCell ref="I32:I35"/>
    <mergeCell ref="A25:A31"/>
    <mergeCell ref="B25:B31"/>
    <mergeCell ref="C25:C31"/>
    <mergeCell ref="D25:D31"/>
    <mergeCell ref="E25:E31"/>
    <mergeCell ref="F25:F31"/>
    <mergeCell ref="G25:G31"/>
    <mergeCell ref="H25:H31"/>
    <mergeCell ref="I25:I31"/>
    <mergeCell ref="P19:U19"/>
    <mergeCell ref="P20:U20"/>
    <mergeCell ref="A21:A24"/>
    <mergeCell ref="B21:B24"/>
    <mergeCell ref="C21:C24"/>
    <mergeCell ref="D21:D24"/>
    <mergeCell ref="E21:E24"/>
    <mergeCell ref="F21:F24"/>
    <mergeCell ref="G21:G24"/>
    <mergeCell ref="O21:U21"/>
    <mergeCell ref="H21:H24"/>
    <mergeCell ref="I21:I24"/>
    <mergeCell ref="J21:J24"/>
    <mergeCell ref="K21:K24"/>
    <mergeCell ref="L21:L24"/>
    <mergeCell ref="M21:M24"/>
    <mergeCell ref="O10:V10"/>
    <mergeCell ref="O11:S11"/>
    <mergeCell ref="B6:B7"/>
    <mergeCell ref="C6:C7"/>
    <mergeCell ref="D6:D7"/>
    <mergeCell ref="E6:E7"/>
    <mergeCell ref="F6:F7"/>
    <mergeCell ref="G6:G7"/>
    <mergeCell ref="P17:S17"/>
    <mergeCell ref="A2:A7"/>
    <mergeCell ref="B2:K2"/>
    <mergeCell ref="L2:L7"/>
    <mergeCell ref="M2:M8"/>
    <mergeCell ref="N2:V6"/>
    <mergeCell ref="B3:C4"/>
    <mergeCell ref="D3:J3"/>
    <mergeCell ref="K3:K7"/>
    <mergeCell ref="D4:J5"/>
    <mergeCell ref="B5:C5"/>
    <mergeCell ref="H6:H7"/>
    <mergeCell ref="I6:I7"/>
    <mergeCell ref="J6:J7"/>
    <mergeCell ref="N7:V7"/>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N22"/>
  <sheetViews>
    <sheetView topLeftCell="A10" workbookViewId="0">
      <selection activeCell="D6" sqref="D6:D8"/>
    </sheetView>
  </sheetViews>
  <sheetFormatPr defaultRowHeight="15" x14ac:dyDescent="0.25"/>
  <cols>
    <col min="1" max="1" width="6.5703125" customWidth="1"/>
    <col min="2" max="2" width="8.85546875" customWidth="1"/>
    <col min="3" max="3" width="37.28515625" bestFit="1" customWidth="1"/>
    <col min="4" max="4" width="18.7109375" bestFit="1" customWidth="1"/>
    <col min="5" max="5" width="5.42578125" customWidth="1"/>
    <col min="6" max="6" width="10.42578125" bestFit="1" customWidth="1"/>
    <col min="7" max="7" width="11.28515625" bestFit="1" customWidth="1"/>
    <col min="8" max="8" width="11.28515625" hidden="1" customWidth="1"/>
    <col min="9" max="10" width="10.28515625" hidden="1" customWidth="1"/>
    <col min="11" max="11" width="11.28515625" hidden="1" customWidth="1"/>
    <col min="12" max="12" width="12.140625" hidden="1" customWidth="1"/>
    <col min="13" max="13" width="11.28515625" bestFit="1" customWidth="1"/>
    <col min="14" max="14" width="14.5703125" customWidth="1"/>
  </cols>
  <sheetData>
    <row r="1" spans="2:13" ht="15.75" thickBot="1" x14ac:dyDescent="0.3"/>
    <row r="2" spans="2:13" ht="18.75" thickBot="1" x14ac:dyDescent="0.3">
      <c r="B2" s="415" t="s">
        <v>48</v>
      </c>
      <c r="C2" s="416"/>
      <c r="D2" s="416"/>
      <c r="E2" s="416"/>
      <c r="F2" s="416"/>
      <c r="G2" s="416"/>
      <c r="H2" s="416"/>
      <c r="I2" s="416"/>
      <c r="J2" s="416"/>
      <c r="K2" s="416"/>
      <c r="L2" s="416"/>
      <c r="M2" s="417"/>
    </row>
    <row r="3" spans="2:13" ht="51.75" thickBot="1" x14ac:dyDescent="0.3">
      <c r="B3" s="139" t="s">
        <v>26</v>
      </c>
      <c r="C3" s="160" t="s">
        <v>27</v>
      </c>
      <c r="D3" s="140" t="s">
        <v>28</v>
      </c>
      <c r="E3" s="140" t="s">
        <v>29</v>
      </c>
      <c r="F3" s="140" t="s">
        <v>30</v>
      </c>
      <c r="G3" s="140" t="s">
        <v>665</v>
      </c>
      <c r="H3" s="140" t="s">
        <v>31</v>
      </c>
      <c r="I3" s="140" t="s">
        <v>32</v>
      </c>
      <c r="J3" s="140" t="s">
        <v>33</v>
      </c>
      <c r="K3" s="140" t="s">
        <v>34</v>
      </c>
      <c r="L3" s="140" t="s">
        <v>5</v>
      </c>
      <c r="M3" s="140" t="s">
        <v>664</v>
      </c>
    </row>
    <row r="4" spans="2:13" ht="20.100000000000001" customHeight="1" x14ac:dyDescent="0.25">
      <c r="B4" s="78">
        <v>1</v>
      </c>
      <c r="C4" s="79" t="s">
        <v>35</v>
      </c>
      <c r="D4" s="80">
        <v>19</v>
      </c>
      <c r="E4" s="80">
        <v>1</v>
      </c>
      <c r="F4" s="81">
        <v>800000</v>
      </c>
      <c r="G4" s="81">
        <f>F4*12</f>
        <v>9600000</v>
      </c>
      <c r="H4" s="81">
        <f t="shared" ref="H4:H9" si="0">(F4*12)*1.05</f>
        <v>10080000</v>
      </c>
      <c r="I4" s="81">
        <f t="shared" ref="I4:K16" si="1">H4*1.05</f>
        <v>10584000</v>
      </c>
      <c r="J4" s="81">
        <f t="shared" si="1"/>
        <v>11113200</v>
      </c>
      <c r="K4" s="82">
        <f t="shared" si="1"/>
        <v>11668860</v>
      </c>
      <c r="L4" s="82">
        <f t="shared" ref="L4:L16" si="2">SUM(G4:K4)</f>
        <v>53046060</v>
      </c>
      <c r="M4" s="83">
        <f>G4/285</f>
        <v>33684.210526315786</v>
      </c>
    </row>
    <row r="5" spans="2:13" ht="20.100000000000001" customHeight="1" x14ac:dyDescent="0.25">
      <c r="B5" s="1">
        <v>2</v>
      </c>
      <c r="C5" s="2" t="s">
        <v>36</v>
      </c>
      <c r="D5" s="3">
        <v>18</v>
      </c>
      <c r="E5" s="3">
        <v>1</v>
      </c>
      <c r="F5" s="4">
        <v>600000</v>
      </c>
      <c r="G5" s="4">
        <f>F5*12</f>
        <v>7200000</v>
      </c>
      <c r="H5" s="4">
        <f t="shared" si="0"/>
        <v>7560000</v>
      </c>
      <c r="I5" s="4">
        <f t="shared" si="1"/>
        <v>7938000</v>
      </c>
      <c r="J5" s="4">
        <f t="shared" si="1"/>
        <v>8334900</v>
      </c>
      <c r="K5" s="5">
        <f t="shared" si="1"/>
        <v>8751645</v>
      </c>
      <c r="L5" s="5">
        <f t="shared" si="2"/>
        <v>39784545</v>
      </c>
      <c r="M5" s="84">
        <f>G5/285</f>
        <v>25263.157894736843</v>
      </c>
    </row>
    <row r="6" spans="2:13" ht="20.100000000000001" customHeight="1" x14ac:dyDescent="0.25">
      <c r="B6" s="1">
        <v>3</v>
      </c>
      <c r="C6" s="6" t="s">
        <v>37</v>
      </c>
      <c r="D6" s="418" t="s">
        <v>38</v>
      </c>
      <c r="E6" s="3">
        <v>1</v>
      </c>
      <c r="F6" s="4">
        <v>550000</v>
      </c>
      <c r="G6" s="4">
        <f t="shared" ref="G6:G12" si="3">F6*12</f>
        <v>6600000</v>
      </c>
      <c r="H6" s="4">
        <f t="shared" si="0"/>
        <v>6930000</v>
      </c>
      <c r="I6" s="4">
        <f t="shared" si="1"/>
        <v>7276500</v>
      </c>
      <c r="J6" s="4">
        <f t="shared" si="1"/>
        <v>7640325</v>
      </c>
      <c r="K6" s="5">
        <f t="shared" si="1"/>
        <v>8022341.25</v>
      </c>
      <c r="L6" s="5">
        <f t="shared" si="2"/>
        <v>36469166.25</v>
      </c>
      <c r="M6" s="84">
        <f>G6/285</f>
        <v>23157.894736842107</v>
      </c>
    </row>
    <row r="7" spans="2:13" ht="20.100000000000001" customHeight="1" x14ac:dyDescent="0.25">
      <c r="B7" s="1">
        <v>5</v>
      </c>
      <c r="C7" s="2" t="s">
        <v>39</v>
      </c>
      <c r="D7" s="418"/>
      <c r="E7" s="3">
        <v>1</v>
      </c>
      <c r="F7" s="4">
        <v>550000</v>
      </c>
      <c r="G7" s="4">
        <f t="shared" si="3"/>
        <v>6600000</v>
      </c>
      <c r="H7" s="4">
        <f t="shared" si="0"/>
        <v>6930000</v>
      </c>
      <c r="I7" s="4">
        <f t="shared" si="1"/>
        <v>7276500</v>
      </c>
      <c r="J7" s="4">
        <f t="shared" si="1"/>
        <v>7640325</v>
      </c>
      <c r="K7" s="5">
        <f t="shared" si="1"/>
        <v>8022341.25</v>
      </c>
      <c r="L7" s="5">
        <f t="shared" si="2"/>
        <v>36469166.25</v>
      </c>
      <c r="M7" s="84">
        <f t="shared" ref="M7:M15" si="4">G7/285</f>
        <v>23157.894736842107</v>
      </c>
    </row>
    <row r="8" spans="2:13" ht="20.100000000000001" customHeight="1" x14ac:dyDescent="0.25">
      <c r="B8" s="1">
        <v>6</v>
      </c>
      <c r="C8" s="2" t="s">
        <v>951</v>
      </c>
      <c r="D8" s="418"/>
      <c r="E8" s="3">
        <v>1</v>
      </c>
      <c r="F8" s="4">
        <v>550000</v>
      </c>
      <c r="G8" s="4">
        <f t="shared" si="3"/>
        <v>6600000</v>
      </c>
      <c r="H8" s="4">
        <f t="shared" si="0"/>
        <v>6930000</v>
      </c>
      <c r="I8" s="4">
        <f t="shared" si="1"/>
        <v>7276500</v>
      </c>
      <c r="J8" s="4">
        <f t="shared" si="1"/>
        <v>7640325</v>
      </c>
      <c r="K8" s="5">
        <f t="shared" si="1"/>
        <v>8022341.25</v>
      </c>
      <c r="L8" s="5">
        <f t="shared" si="2"/>
        <v>36469166.25</v>
      </c>
      <c r="M8" s="84">
        <f t="shared" si="4"/>
        <v>23157.894736842107</v>
      </c>
    </row>
    <row r="9" spans="2:13" ht="20.100000000000001" customHeight="1" x14ac:dyDescent="0.25">
      <c r="B9" s="1">
        <v>7</v>
      </c>
      <c r="C9" s="2" t="s">
        <v>40</v>
      </c>
      <c r="D9" s="3">
        <v>17</v>
      </c>
      <c r="E9" s="3">
        <v>1</v>
      </c>
      <c r="F9" s="4">
        <v>160000</v>
      </c>
      <c r="G9" s="4">
        <f t="shared" si="3"/>
        <v>1920000</v>
      </c>
      <c r="H9" s="4">
        <f t="shared" si="0"/>
        <v>2016000</v>
      </c>
      <c r="I9" s="4">
        <f t="shared" si="1"/>
        <v>2116800</v>
      </c>
      <c r="J9" s="4">
        <f t="shared" si="1"/>
        <v>2222640</v>
      </c>
      <c r="K9" s="5">
        <f t="shared" si="1"/>
        <v>2333772</v>
      </c>
      <c r="L9" s="5">
        <f t="shared" si="2"/>
        <v>10609212</v>
      </c>
      <c r="M9" s="84">
        <f t="shared" si="4"/>
        <v>6736.8421052631575</v>
      </c>
    </row>
    <row r="10" spans="2:13" ht="20.100000000000001" customHeight="1" x14ac:dyDescent="0.25">
      <c r="B10" s="1">
        <v>8</v>
      </c>
      <c r="C10" s="2" t="s">
        <v>53</v>
      </c>
      <c r="D10" s="3">
        <v>16</v>
      </c>
      <c r="E10" s="3">
        <v>2</v>
      </c>
      <c r="F10" s="4">
        <v>80000</v>
      </c>
      <c r="G10" s="4">
        <f>(F10*12*2)</f>
        <v>1920000</v>
      </c>
      <c r="H10" s="4">
        <f>G10*1.05</f>
        <v>2016000</v>
      </c>
      <c r="I10" s="4">
        <f t="shared" si="1"/>
        <v>2116800</v>
      </c>
      <c r="J10" s="4">
        <f t="shared" si="1"/>
        <v>2222640</v>
      </c>
      <c r="K10" s="5">
        <f t="shared" si="1"/>
        <v>2333772</v>
      </c>
      <c r="L10" s="5">
        <f t="shared" si="2"/>
        <v>10609212</v>
      </c>
      <c r="M10" s="84">
        <f t="shared" si="4"/>
        <v>6736.8421052631575</v>
      </c>
    </row>
    <row r="11" spans="2:13" ht="20.100000000000001" customHeight="1" x14ac:dyDescent="0.25">
      <c r="B11" s="1">
        <v>9</v>
      </c>
      <c r="C11" s="2" t="s">
        <v>41</v>
      </c>
      <c r="D11" s="3">
        <v>16</v>
      </c>
      <c r="E11" s="3">
        <v>1</v>
      </c>
      <c r="F11" s="4">
        <v>82000</v>
      </c>
      <c r="G11" s="4">
        <f t="shared" si="3"/>
        <v>984000</v>
      </c>
      <c r="H11" s="4">
        <f>(F11*12)*1.05</f>
        <v>1033200</v>
      </c>
      <c r="I11" s="4">
        <f t="shared" si="1"/>
        <v>1084860</v>
      </c>
      <c r="J11" s="4">
        <f t="shared" si="1"/>
        <v>1139103</v>
      </c>
      <c r="K11" s="5">
        <f t="shared" si="1"/>
        <v>1196058.1500000001</v>
      </c>
      <c r="L11" s="5">
        <f t="shared" si="2"/>
        <v>5437221.1500000004</v>
      </c>
      <c r="M11" s="84">
        <f t="shared" si="4"/>
        <v>3452.6315789473683</v>
      </c>
    </row>
    <row r="12" spans="2:13" ht="20.100000000000001" customHeight="1" x14ac:dyDescent="0.25">
      <c r="B12" s="1">
        <v>10</v>
      </c>
      <c r="C12" s="2" t="s">
        <v>42</v>
      </c>
      <c r="D12" s="3">
        <v>7</v>
      </c>
      <c r="E12" s="3">
        <v>1</v>
      </c>
      <c r="F12" s="4">
        <v>40000</v>
      </c>
      <c r="G12" s="4">
        <f t="shared" si="3"/>
        <v>480000</v>
      </c>
      <c r="H12" s="4">
        <f>(F12*12)*1.05</f>
        <v>504000</v>
      </c>
      <c r="I12" s="4">
        <f t="shared" si="1"/>
        <v>529200</v>
      </c>
      <c r="J12" s="4">
        <f t="shared" si="1"/>
        <v>555660</v>
      </c>
      <c r="K12" s="5">
        <f t="shared" si="1"/>
        <v>583443</v>
      </c>
      <c r="L12" s="5">
        <f t="shared" si="2"/>
        <v>2652303</v>
      </c>
      <c r="M12" s="84">
        <f t="shared" si="4"/>
        <v>1684.2105263157894</v>
      </c>
    </row>
    <row r="13" spans="2:13" ht="20.100000000000001" customHeight="1" x14ac:dyDescent="0.25">
      <c r="B13" s="1">
        <v>11</v>
      </c>
      <c r="C13" s="2" t="s">
        <v>43</v>
      </c>
      <c r="D13" s="3">
        <v>6</v>
      </c>
      <c r="E13" s="3">
        <v>4</v>
      </c>
      <c r="F13" s="4">
        <v>35000</v>
      </c>
      <c r="G13" s="4">
        <f>(F13*12)*4</f>
        <v>1680000</v>
      </c>
      <c r="H13" s="4">
        <f>G13*1.05</f>
        <v>1764000</v>
      </c>
      <c r="I13" s="4">
        <f t="shared" si="1"/>
        <v>1852200</v>
      </c>
      <c r="J13" s="4">
        <f t="shared" si="1"/>
        <v>1944810</v>
      </c>
      <c r="K13" s="5">
        <f t="shared" si="1"/>
        <v>2042050.5</v>
      </c>
      <c r="L13" s="5">
        <f t="shared" si="2"/>
        <v>9283060.5</v>
      </c>
      <c r="M13" s="84">
        <f t="shared" si="4"/>
        <v>5894.7368421052633</v>
      </c>
    </row>
    <row r="14" spans="2:13" ht="20.100000000000001" customHeight="1" x14ac:dyDescent="0.25">
      <c r="B14" s="1">
        <v>12</v>
      </c>
      <c r="C14" s="2" t="s">
        <v>44</v>
      </c>
      <c r="D14" s="3">
        <v>3</v>
      </c>
      <c r="E14" s="3">
        <v>3</v>
      </c>
      <c r="F14" s="4">
        <v>35000</v>
      </c>
      <c r="G14" s="4">
        <f>(F14*12)*3</f>
        <v>1260000</v>
      </c>
      <c r="H14" s="4">
        <f>G14*1.05</f>
        <v>1323000</v>
      </c>
      <c r="I14" s="4">
        <f t="shared" si="1"/>
        <v>1389150</v>
      </c>
      <c r="J14" s="4">
        <f t="shared" si="1"/>
        <v>1458607.5</v>
      </c>
      <c r="K14" s="5">
        <f t="shared" si="1"/>
        <v>1531537.875</v>
      </c>
      <c r="L14" s="5">
        <f t="shared" si="2"/>
        <v>6962295.375</v>
      </c>
      <c r="M14" s="84">
        <f t="shared" si="4"/>
        <v>4421.0526315789475</v>
      </c>
    </row>
    <row r="15" spans="2:13" ht="20.100000000000001" customHeight="1" x14ac:dyDescent="0.25">
      <c r="B15" s="1">
        <v>13</v>
      </c>
      <c r="C15" s="2" t="s">
        <v>45</v>
      </c>
      <c r="D15" s="3">
        <v>3</v>
      </c>
      <c r="E15" s="3">
        <v>1</v>
      </c>
      <c r="F15" s="4">
        <v>35000</v>
      </c>
      <c r="G15" s="4">
        <f t="shared" ref="G15" si="5">F15*12</f>
        <v>420000</v>
      </c>
      <c r="H15" s="4">
        <f>(F15*12)*1.05</f>
        <v>441000</v>
      </c>
      <c r="I15" s="4">
        <f t="shared" si="1"/>
        <v>463050</v>
      </c>
      <c r="J15" s="4">
        <f t="shared" si="1"/>
        <v>486202.5</v>
      </c>
      <c r="K15" s="5">
        <f t="shared" si="1"/>
        <v>510512.625</v>
      </c>
      <c r="L15" s="5">
        <f t="shared" si="2"/>
        <v>2320765.125</v>
      </c>
      <c r="M15" s="84">
        <f t="shared" si="4"/>
        <v>1473.6842105263158</v>
      </c>
    </row>
    <row r="16" spans="2:13" ht="20.100000000000001" customHeight="1" x14ac:dyDescent="0.25">
      <c r="B16" s="1">
        <v>14</v>
      </c>
      <c r="C16" s="2" t="s">
        <v>46</v>
      </c>
      <c r="D16" s="3">
        <v>3</v>
      </c>
      <c r="E16" s="3">
        <v>2</v>
      </c>
      <c r="F16" s="4">
        <v>35000</v>
      </c>
      <c r="G16" s="4">
        <f>(F16*12)*2</f>
        <v>840000</v>
      </c>
      <c r="H16" s="4">
        <f>G16*1.05</f>
        <v>882000</v>
      </c>
      <c r="I16" s="4">
        <f t="shared" si="1"/>
        <v>926100</v>
      </c>
      <c r="J16" s="4">
        <f t="shared" si="1"/>
        <v>972405</v>
      </c>
      <c r="K16" s="5">
        <f t="shared" si="1"/>
        <v>1021025.25</v>
      </c>
      <c r="L16" s="5">
        <f t="shared" si="2"/>
        <v>4641530.25</v>
      </c>
      <c r="M16" s="84">
        <f>G16/285</f>
        <v>2947.3684210526317</v>
      </c>
    </row>
    <row r="17" spans="2:14" ht="20.25" customHeight="1" thickBot="1" x14ac:dyDescent="0.3">
      <c r="B17" s="85"/>
      <c r="C17" s="86"/>
      <c r="D17" s="87"/>
      <c r="E17" s="87"/>
      <c r="F17" s="88"/>
      <c r="G17" s="88"/>
      <c r="H17" s="88"/>
      <c r="I17" s="88"/>
      <c r="J17" s="88"/>
      <c r="K17" s="89"/>
      <c r="L17" s="89"/>
      <c r="M17" s="90"/>
    </row>
    <row r="18" spans="2:14" ht="15.75" thickBot="1" x14ac:dyDescent="0.3">
      <c r="B18" s="72"/>
      <c r="C18" s="73" t="s">
        <v>5</v>
      </c>
      <c r="D18" s="73"/>
      <c r="E18" s="74">
        <f>SUM(E4:E16)</f>
        <v>20</v>
      </c>
      <c r="F18" s="75"/>
      <c r="G18" s="76">
        <f>SUM(G4:G16)</f>
        <v>46104000</v>
      </c>
      <c r="H18" s="76">
        <f t="shared" ref="H18:K18" si="6">SUM(H4:H16)</f>
        <v>48409200</v>
      </c>
      <c r="I18" s="76">
        <f t="shared" si="6"/>
        <v>50829660</v>
      </c>
      <c r="J18" s="76">
        <f t="shared" si="6"/>
        <v>53371143</v>
      </c>
      <c r="K18" s="76">
        <f t="shared" si="6"/>
        <v>56039700.149999999</v>
      </c>
      <c r="L18" s="77">
        <f>SUM(L4:L16)</f>
        <v>254753703.15000001</v>
      </c>
      <c r="M18" s="77">
        <f>SUM(M4:M16)</f>
        <v>161768.42105263157</v>
      </c>
      <c r="N18" s="7"/>
    </row>
    <row r="20" spans="2:14" x14ac:dyDescent="0.25">
      <c r="C20" t="s">
        <v>708</v>
      </c>
      <c r="D20" s="207">
        <v>34040490</v>
      </c>
      <c r="E20" s="202"/>
    </row>
    <row r="21" spans="2:14" x14ac:dyDescent="0.25">
      <c r="C21" t="s">
        <v>710</v>
      </c>
      <c r="D21" s="203">
        <f>G18</f>
        <v>46104000</v>
      </c>
      <c r="E21" s="203"/>
    </row>
    <row r="22" spans="2:14" x14ac:dyDescent="0.25">
      <c r="C22" s="204" t="s">
        <v>711</v>
      </c>
      <c r="D22" s="208">
        <f>D20-D21</f>
        <v>-12063510</v>
      </c>
      <c r="E22" s="206"/>
    </row>
  </sheetData>
  <mergeCells count="2">
    <mergeCell ref="B2:M2"/>
    <mergeCell ref="D6:D8"/>
  </mergeCells>
  <printOptions horizontalCentered="1"/>
  <pageMargins left="0.5" right="0.5" top="0.25" bottom="0.25" header="0" footer="0"/>
  <pageSetup paperSize="5" fitToHeight="0" orientation="landscape" r:id="rId1"/>
  <ignoredErrors>
    <ignoredError sqref="G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W34"/>
  <sheetViews>
    <sheetView zoomScale="90" zoomScaleNormal="90" workbookViewId="0">
      <selection activeCell="F30" sqref="F30"/>
    </sheetView>
  </sheetViews>
  <sheetFormatPr defaultColWidth="9.140625" defaultRowHeight="14.25" x14ac:dyDescent="0.2"/>
  <cols>
    <col min="1" max="1" width="6.140625" style="15" customWidth="1"/>
    <col min="2" max="2" width="6.42578125" style="16" customWidth="1"/>
    <col min="3" max="3" width="16.140625" style="17" bestFit="1" customWidth="1"/>
    <col min="4" max="4" width="45.5703125" style="15" bestFit="1" customWidth="1"/>
    <col min="5" max="5" width="16.42578125" style="16" customWidth="1"/>
    <col min="6" max="6" width="15.42578125" style="15" bestFit="1" customWidth="1"/>
    <col min="7" max="7" width="18.7109375" style="15" customWidth="1"/>
    <col min="8" max="8" width="71.28515625" style="15" bestFit="1" customWidth="1"/>
    <col min="9" max="16384" width="9.140625" style="15"/>
  </cols>
  <sheetData>
    <row r="2" spans="2:23" ht="16.5" customHeight="1" x14ac:dyDescent="0.2">
      <c r="B2" s="419" t="s">
        <v>64</v>
      </c>
      <c r="C2" s="419"/>
      <c r="D2" s="419"/>
      <c r="E2" s="419"/>
      <c r="F2" s="419"/>
      <c r="G2" s="419"/>
      <c r="H2" s="419"/>
      <c r="I2" s="8"/>
      <c r="J2" s="8"/>
      <c r="K2" s="8"/>
      <c r="L2" s="8"/>
      <c r="M2" s="8"/>
      <c r="N2" s="8"/>
      <c r="O2" s="8"/>
      <c r="P2" s="8"/>
      <c r="Q2" s="8"/>
      <c r="R2" s="8"/>
      <c r="S2" s="8"/>
      <c r="T2" s="8"/>
      <c r="U2" s="8"/>
      <c r="V2" s="8"/>
      <c r="W2" s="8"/>
    </row>
    <row r="3" spans="2:23" ht="16.5" customHeight="1" thickBot="1" x14ac:dyDescent="0.25">
      <c r="B3" s="161"/>
      <c r="C3" s="161"/>
      <c r="D3" s="161"/>
      <c r="E3" s="161"/>
      <c r="F3" s="161"/>
      <c r="G3" s="161"/>
      <c r="H3" s="161"/>
      <c r="I3" s="8"/>
      <c r="J3" s="8"/>
      <c r="K3" s="8"/>
      <c r="L3" s="8"/>
      <c r="M3" s="8"/>
      <c r="N3" s="8"/>
      <c r="O3" s="8"/>
      <c r="P3" s="8"/>
      <c r="Q3" s="8"/>
      <c r="R3" s="8"/>
      <c r="S3" s="8"/>
      <c r="T3" s="8"/>
      <c r="U3" s="8"/>
      <c r="V3" s="8"/>
      <c r="W3" s="8"/>
    </row>
    <row r="4" spans="2:23" x14ac:dyDescent="0.2">
      <c r="B4" s="420" t="s">
        <v>55</v>
      </c>
      <c r="C4" s="423" t="s">
        <v>92</v>
      </c>
      <c r="D4" s="426" t="s">
        <v>4</v>
      </c>
      <c r="E4" s="426" t="s">
        <v>56</v>
      </c>
      <c r="F4" s="429" t="s">
        <v>665</v>
      </c>
      <c r="G4" s="423" t="s">
        <v>666</v>
      </c>
      <c r="H4" s="432" t="s">
        <v>90</v>
      </c>
    </row>
    <row r="5" spans="2:23" x14ac:dyDescent="0.2">
      <c r="B5" s="421"/>
      <c r="C5" s="424"/>
      <c r="D5" s="427"/>
      <c r="E5" s="427"/>
      <c r="F5" s="430"/>
      <c r="G5" s="424"/>
      <c r="H5" s="433"/>
    </row>
    <row r="6" spans="2:23" ht="15" thickBot="1" x14ac:dyDescent="0.25">
      <c r="B6" s="422"/>
      <c r="C6" s="425"/>
      <c r="D6" s="428"/>
      <c r="E6" s="428"/>
      <c r="F6" s="431"/>
      <c r="G6" s="425"/>
      <c r="H6" s="434"/>
    </row>
    <row r="7" spans="2:23" ht="39.950000000000003" customHeight="1" x14ac:dyDescent="0.2">
      <c r="B7" s="365">
        <v>1</v>
      </c>
      <c r="C7" s="366" t="s">
        <v>49</v>
      </c>
      <c r="D7" s="367" t="s">
        <v>392</v>
      </c>
      <c r="E7" s="368" t="s">
        <v>395</v>
      </c>
      <c r="F7" s="369">
        <f>300000</f>
        <v>300000</v>
      </c>
      <c r="G7" s="370">
        <f>F7/285</f>
        <v>1052.6315789473683</v>
      </c>
      <c r="H7" s="371" t="s">
        <v>691</v>
      </c>
    </row>
    <row r="8" spans="2:23" ht="39.950000000000003" customHeight="1" x14ac:dyDescent="0.2">
      <c r="B8" s="372">
        <f>1+B7</f>
        <v>2</v>
      </c>
      <c r="C8" s="373" t="s">
        <v>49</v>
      </c>
      <c r="D8" s="374" t="s">
        <v>393</v>
      </c>
      <c r="E8" s="375" t="s">
        <v>396</v>
      </c>
      <c r="F8" s="376">
        <f>300000</f>
        <v>300000</v>
      </c>
      <c r="G8" s="377">
        <f t="shared" ref="G8:G30" si="0">F8/285</f>
        <v>1052.6315789473683</v>
      </c>
      <c r="H8" s="378" t="s">
        <v>692</v>
      </c>
    </row>
    <row r="9" spans="2:23" ht="39.950000000000003" customHeight="1" x14ac:dyDescent="0.2">
      <c r="B9" s="372">
        <f>1+B8</f>
        <v>3</v>
      </c>
      <c r="C9" s="373" t="s">
        <v>49</v>
      </c>
      <c r="D9" s="374" t="s">
        <v>394</v>
      </c>
      <c r="E9" s="375" t="s">
        <v>397</v>
      </c>
      <c r="F9" s="376">
        <f>5000000</f>
        <v>5000000</v>
      </c>
      <c r="G9" s="377">
        <f t="shared" si="0"/>
        <v>17543.859649122805</v>
      </c>
      <c r="H9" s="378" t="s">
        <v>693</v>
      </c>
    </row>
    <row r="10" spans="2:23" ht="39" customHeight="1" x14ac:dyDescent="0.2">
      <c r="B10" s="372">
        <f>1+B9</f>
        <v>4</v>
      </c>
      <c r="C10" s="373" t="s">
        <v>49</v>
      </c>
      <c r="D10" s="374" t="s">
        <v>398</v>
      </c>
      <c r="E10" s="379" t="s">
        <v>72</v>
      </c>
      <c r="F10" s="376">
        <v>1500000</v>
      </c>
      <c r="G10" s="377">
        <f t="shared" si="0"/>
        <v>5263.1578947368425</v>
      </c>
      <c r="H10" s="378" t="s">
        <v>694</v>
      </c>
    </row>
    <row r="11" spans="2:23" ht="28.5" x14ac:dyDescent="0.2">
      <c r="B11" s="372">
        <f>1+B10</f>
        <v>5</v>
      </c>
      <c r="C11" s="373" t="s">
        <v>49</v>
      </c>
      <c r="D11" s="374" t="s">
        <v>399</v>
      </c>
      <c r="E11" s="379" t="s">
        <v>400</v>
      </c>
      <c r="F11" s="376">
        <v>1000000</v>
      </c>
      <c r="G11" s="377">
        <f t="shared" si="0"/>
        <v>3508.7719298245615</v>
      </c>
      <c r="H11" s="378" t="s">
        <v>695</v>
      </c>
    </row>
    <row r="12" spans="2:23" ht="39.950000000000003" customHeight="1" x14ac:dyDescent="0.2">
      <c r="B12" s="372">
        <f>1+B11</f>
        <v>6</v>
      </c>
      <c r="C12" s="373" t="s">
        <v>49</v>
      </c>
      <c r="D12" s="380" t="s">
        <v>6</v>
      </c>
      <c r="E12" s="379" t="s">
        <v>73</v>
      </c>
      <c r="F12" s="376">
        <v>20000000</v>
      </c>
      <c r="G12" s="377">
        <f t="shared" si="0"/>
        <v>70175.438596491222</v>
      </c>
      <c r="H12" s="378" t="s">
        <v>702</v>
      </c>
    </row>
    <row r="13" spans="2:23" ht="27.6" customHeight="1" x14ac:dyDescent="0.2">
      <c r="B13" s="372">
        <f t="shared" ref="B13:B29" si="1">1+B12</f>
        <v>7</v>
      </c>
      <c r="C13" s="373" t="s">
        <v>49</v>
      </c>
      <c r="D13" s="380" t="s">
        <v>402</v>
      </c>
      <c r="E13" s="379" t="s">
        <v>403</v>
      </c>
      <c r="F13" s="376">
        <f>200000</f>
        <v>200000</v>
      </c>
      <c r="G13" s="377">
        <f t="shared" si="0"/>
        <v>701.75438596491233</v>
      </c>
      <c r="H13" s="378" t="s">
        <v>706</v>
      </c>
    </row>
    <row r="14" spans="2:23" ht="28.5" x14ac:dyDescent="0.2">
      <c r="B14" s="372">
        <f t="shared" si="1"/>
        <v>8</v>
      </c>
      <c r="C14" s="373" t="s">
        <v>49</v>
      </c>
      <c r="D14" s="380" t="s">
        <v>404</v>
      </c>
      <c r="E14" s="379" t="s">
        <v>445</v>
      </c>
      <c r="F14" s="376">
        <v>1000000</v>
      </c>
      <c r="G14" s="377">
        <f t="shared" si="0"/>
        <v>3508.7719298245615</v>
      </c>
      <c r="H14" s="378" t="s">
        <v>662</v>
      </c>
    </row>
    <row r="15" spans="2:23" ht="28.5" x14ac:dyDescent="0.2">
      <c r="B15" s="372">
        <f t="shared" si="1"/>
        <v>9</v>
      </c>
      <c r="C15" s="373" t="s">
        <v>49</v>
      </c>
      <c r="D15" s="380" t="s">
        <v>405</v>
      </c>
      <c r="E15" s="379" t="s">
        <v>444</v>
      </c>
      <c r="F15" s="376">
        <v>200000</v>
      </c>
      <c r="G15" s="377">
        <f t="shared" si="0"/>
        <v>701.75438596491233</v>
      </c>
      <c r="H15" s="378" t="s">
        <v>703</v>
      </c>
    </row>
    <row r="16" spans="2:23" ht="42.75" x14ac:dyDescent="0.2">
      <c r="B16" s="372">
        <f t="shared" si="1"/>
        <v>10</v>
      </c>
      <c r="C16" s="373" t="s">
        <v>49</v>
      </c>
      <c r="D16" s="380" t="s">
        <v>660</v>
      </c>
      <c r="E16" s="379" t="s">
        <v>446</v>
      </c>
      <c r="F16" s="376">
        <f>3500000</f>
        <v>3500000</v>
      </c>
      <c r="G16" s="377">
        <f t="shared" si="0"/>
        <v>12280.701754385966</v>
      </c>
      <c r="H16" s="378" t="s">
        <v>659</v>
      </c>
    </row>
    <row r="17" spans="2:8" ht="42.75" x14ac:dyDescent="0.2">
      <c r="B17" s="372">
        <f t="shared" si="1"/>
        <v>11</v>
      </c>
      <c r="C17" s="373" t="s">
        <v>49</v>
      </c>
      <c r="D17" s="380" t="s">
        <v>401</v>
      </c>
      <c r="E17" s="379" t="s">
        <v>74</v>
      </c>
      <c r="F17" s="376">
        <v>5000000</v>
      </c>
      <c r="G17" s="377">
        <f t="shared" si="0"/>
        <v>17543.859649122805</v>
      </c>
      <c r="H17" s="378" t="s">
        <v>696</v>
      </c>
    </row>
    <row r="18" spans="2:8" ht="39.950000000000003" customHeight="1" x14ac:dyDescent="0.2">
      <c r="B18" s="372">
        <f t="shared" si="1"/>
        <v>12</v>
      </c>
      <c r="C18" s="373" t="s">
        <v>49</v>
      </c>
      <c r="D18" s="380" t="s">
        <v>7</v>
      </c>
      <c r="E18" s="379" t="s">
        <v>75</v>
      </c>
      <c r="F18" s="376">
        <v>500000</v>
      </c>
      <c r="G18" s="377">
        <f t="shared" si="0"/>
        <v>1754.3859649122808</v>
      </c>
      <c r="H18" s="378" t="s">
        <v>697</v>
      </c>
    </row>
    <row r="19" spans="2:8" ht="42.75" x14ac:dyDescent="0.2">
      <c r="B19" s="372">
        <f t="shared" si="1"/>
        <v>13</v>
      </c>
      <c r="C19" s="373" t="s">
        <v>49</v>
      </c>
      <c r="D19" s="380" t="s">
        <v>57</v>
      </c>
      <c r="E19" s="379" t="s">
        <v>76</v>
      </c>
      <c r="F19" s="376">
        <f>2000000+50000</f>
        <v>2050000</v>
      </c>
      <c r="G19" s="377">
        <f t="shared" si="0"/>
        <v>7192.9824561403511</v>
      </c>
      <c r="H19" s="378" t="s">
        <v>698</v>
      </c>
    </row>
    <row r="20" spans="2:8" ht="71.25" x14ac:dyDescent="0.2">
      <c r="B20" s="372">
        <f t="shared" si="1"/>
        <v>14</v>
      </c>
      <c r="C20" s="373" t="s">
        <v>49</v>
      </c>
      <c r="D20" s="380" t="s">
        <v>9</v>
      </c>
      <c r="E20" s="379" t="s">
        <v>77</v>
      </c>
      <c r="F20" s="376">
        <f>15000000-5000000</f>
        <v>10000000</v>
      </c>
      <c r="G20" s="377">
        <f t="shared" si="0"/>
        <v>35087.719298245611</v>
      </c>
      <c r="H20" s="378" t="s">
        <v>705</v>
      </c>
    </row>
    <row r="21" spans="2:8" ht="28.5" x14ac:dyDescent="0.2">
      <c r="B21" s="372">
        <f t="shared" si="1"/>
        <v>15</v>
      </c>
      <c r="C21" s="373" t="s">
        <v>49</v>
      </c>
      <c r="D21" s="380" t="s">
        <v>60</v>
      </c>
      <c r="E21" s="379" t="s">
        <v>78</v>
      </c>
      <c r="F21" s="376">
        <v>50000</v>
      </c>
      <c r="G21" s="377">
        <f t="shared" si="0"/>
        <v>175.43859649122808</v>
      </c>
      <c r="H21" s="378" t="s">
        <v>699</v>
      </c>
    </row>
    <row r="22" spans="2:8" ht="42.75" x14ac:dyDescent="0.2">
      <c r="B22" s="372">
        <f t="shared" si="1"/>
        <v>16</v>
      </c>
      <c r="C22" s="373" t="s">
        <v>49</v>
      </c>
      <c r="D22" s="374" t="s">
        <v>62</v>
      </c>
      <c r="E22" s="379" t="s">
        <v>79</v>
      </c>
      <c r="F22" s="376">
        <v>500000</v>
      </c>
      <c r="G22" s="377">
        <f t="shared" si="0"/>
        <v>1754.3859649122808</v>
      </c>
      <c r="H22" s="381" t="s">
        <v>700</v>
      </c>
    </row>
    <row r="23" spans="2:8" ht="39.950000000000003" customHeight="1" x14ac:dyDescent="0.2">
      <c r="B23" s="372">
        <f t="shared" si="1"/>
        <v>17</v>
      </c>
      <c r="C23" s="373" t="s">
        <v>49</v>
      </c>
      <c r="D23" s="374" t="s">
        <v>11</v>
      </c>
      <c r="E23" s="375" t="s">
        <v>80</v>
      </c>
      <c r="F23" s="376">
        <v>200000</v>
      </c>
      <c r="G23" s="377">
        <f t="shared" si="0"/>
        <v>701.75438596491233</v>
      </c>
      <c r="H23" s="378" t="s">
        <v>91</v>
      </c>
    </row>
    <row r="24" spans="2:8" ht="42.75" x14ac:dyDescent="0.2">
      <c r="B24" s="372">
        <f t="shared" si="1"/>
        <v>18</v>
      </c>
      <c r="C24" s="373" t="s">
        <v>83</v>
      </c>
      <c r="D24" s="380" t="s">
        <v>96</v>
      </c>
      <c r="E24" s="379" t="s">
        <v>93</v>
      </c>
      <c r="F24" s="376">
        <v>1000000</v>
      </c>
      <c r="G24" s="377">
        <f t="shared" si="0"/>
        <v>3508.7719298245615</v>
      </c>
      <c r="H24" s="378" t="s">
        <v>447</v>
      </c>
    </row>
    <row r="25" spans="2:8" ht="42.75" x14ac:dyDescent="0.2">
      <c r="B25" s="372">
        <f t="shared" si="1"/>
        <v>19</v>
      </c>
      <c r="C25" s="373" t="s">
        <v>83</v>
      </c>
      <c r="D25" s="380" t="s">
        <v>94</v>
      </c>
      <c r="E25" s="379" t="s">
        <v>95</v>
      </c>
      <c r="F25" s="376">
        <v>1000000</v>
      </c>
      <c r="G25" s="377">
        <f t="shared" si="0"/>
        <v>3508.7719298245615</v>
      </c>
      <c r="H25" s="378" t="s">
        <v>447</v>
      </c>
    </row>
    <row r="26" spans="2:8" ht="42.75" x14ac:dyDescent="0.2">
      <c r="B26" s="372">
        <f t="shared" si="1"/>
        <v>20</v>
      </c>
      <c r="C26" s="373" t="s">
        <v>83</v>
      </c>
      <c r="D26" s="374" t="s">
        <v>661</v>
      </c>
      <c r="E26" s="375" t="s">
        <v>84</v>
      </c>
      <c r="F26" s="376">
        <f>1000000</f>
        <v>1000000</v>
      </c>
      <c r="G26" s="377">
        <f t="shared" si="0"/>
        <v>3508.7719298245615</v>
      </c>
      <c r="H26" s="378" t="s">
        <v>447</v>
      </c>
    </row>
    <row r="27" spans="2:8" ht="65.45" customHeight="1" x14ac:dyDescent="0.2">
      <c r="B27" s="372">
        <f t="shared" si="1"/>
        <v>21</v>
      </c>
      <c r="C27" s="373" t="s">
        <v>83</v>
      </c>
      <c r="D27" s="374" t="s">
        <v>449</v>
      </c>
      <c r="E27" s="375" t="s">
        <v>84</v>
      </c>
      <c r="F27" s="376">
        <v>2600000</v>
      </c>
      <c r="G27" s="377">
        <f t="shared" si="0"/>
        <v>9122.8070175438588</v>
      </c>
      <c r="H27" s="378" t="s">
        <v>949</v>
      </c>
    </row>
    <row r="28" spans="2:8" ht="57" x14ac:dyDescent="0.2">
      <c r="B28" s="372">
        <f t="shared" si="1"/>
        <v>22</v>
      </c>
      <c r="C28" s="373" t="s">
        <v>61</v>
      </c>
      <c r="D28" s="380" t="s">
        <v>8</v>
      </c>
      <c r="E28" s="379" t="s">
        <v>81</v>
      </c>
      <c r="F28" s="376">
        <f>(5000000+300000)-600000</f>
        <v>4700000</v>
      </c>
      <c r="G28" s="377">
        <f t="shared" si="0"/>
        <v>16491.228070175439</v>
      </c>
      <c r="H28" s="378" t="s">
        <v>707</v>
      </c>
    </row>
    <row r="29" spans="2:8" ht="72" thickBot="1" x14ac:dyDescent="0.25">
      <c r="B29" s="382">
        <f t="shared" si="1"/>
        <v>23</v>
      </c>
      <c r="C29" s="383" t="s">
        <v>63</v>
      </c>
      <c r="D29" s="384" t="s">
        <v>10</v>
      </c>
      <c r="E29" s="385" t="s">
        <v>82</v>
      </c>
      <c r="F29" s="386">
        <f>5000000-2000000</f>
        <v>3000000</v>
      </c>
      <c r="G29" s="387">
        <f t="shared" si="0"/>
        <v>10526.315789473685</v>
      </c>
      <c r="H29" s="388" t="s">
        <v>704</v>
      </c>
    </row>
    <row r="30" spans="2:8" ht="15.75" thickBot="1" x14ac:dyDescent="0.25">
      <c r="B30" s="389"/>
      <c r="C30" s="390" t="s">
        <v>49</v>
      </c>
      <c r="D30" s="391" t="s">
        <v>950</v>
      </c>
      <c r="E30" s="392"/>
      <c r="F30" s="393">
        <v>10000000</v>
      </c>
      <c r="G30" s="387">
        <f t="shared" si="0"/>
        <v>35087.719298245611</v>
      </c>
      <c r="H30" s="394"/>
    </row>
    <row r="31" spans="2:8" ht="18.75" thickBot="1" x14ac:dyDescent="0.3">
      <c r="B31" s="395"/>
      <c r="C31" s="396"/>
      <c r="D31" s="397" t="s">
        <v>5</v>
      </c>
      <c r="E31" s="398"/>
      <c r="F31" s="399">
        <f>SUM(F7:F30)</f>
        <v>74600000</v>
      </c>
      <c r="G31" s="399">
        <f>SUM(G7:G30)</f>
        <v>261754.38596491225</v>
      </c>
      <c r="H31" s="400"/>
    </row>
    <row r="33" spans="6:7" x14ac:dyDescent="0.2">
      <c r="F33" s="65"/>
      <c r="G33" s="65"/>
    </row>
    <row r="34" spans="6:7" x14ac:dyDescent="0.2">
      <c r="F34" s="65"/>
    </row>
  </sheetData>
  <mergeCells count="8">
    <mergeCell ref="B2:H2"/>
    <mergeCell ref="B4:B6"/>
    <mergeCell ref="C4:C6"/>
    <mergeCell ref="D4:D6"/>
    <mergeCell ref="E4:E6"/>
    <mergeCell ref="F4:F6"/>
    <mergeCell ref="H4:H6"/>
    <mergeCell ref="G4:G6"/>
  </mergeCells>
  <printOptions horizontalCentered="1"/>
  <pageMargins left="0.5" right="0.5" top="0.25" bottom="0.25" header="0" footer="0"/>
  <pageSetup paperSize="5"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E255"/>
  <sheetViews>
    <sheetView topLeftCell="A19" workbookViewId="0">
      <selection activeCell="C13" sqref="C13"/>
    </sheetView>
  </sheetViews>
  <sheetFormatPr defaultRowHeight="15" x14ac:dyDescent="0.25"/>
  <cols>
    <col min="1" max="1" width="5" customWidth="1"/>
    <col min="2" max="2" width="9.140625" style="60"/>
    <col min="3" max="3" width="59.5703125" style="59" customWidth="1"/>
    <col min="4" max="4" width="16" style="60" customWidth="1"/>
  </cols>
  <sheetData>
    <row r="2" spans="2:5" ht="18" x14ac:dyDescent="0.25">
      <c r="B2" s="436" t="s">
        <v>387</v>
      </c>
      <c r="C2" s="436"/>
      <c r="D2" s="436"/>
    </row>
    <row r="3" spans="2:5" ht="18.75" thickBot="1" x14ac:dyDescent="0.3">
      <c r="E3" s="18"/>
    </row>
    <row r="4" spans="2:5" ht="18.75" thickBot="1" x14ac:dyDescent="0.3">
      <c r="B4" s="94" t="s">
        <v>55</v>
      </c>
      <c r="C4" s="95" t="s">
        <v>103</v>
      </c>
      <c r="D4" s="96" t="s">
        <v>104</v>
      </c>
      <c r="E4" s="18"/>
    </row>
    <row r="5" spans="2:5" ht="18" x14ac:dyDescent="0.25">
      <c r="B5" s="92"/>
      <c r="C5" s="93"/>
      <c r="D5" s="92"/>
      <c r="E5" s="18"/>
    </row>
    <row r="6" spans="2:5" ht="18" x14ac:dyDescent="0.25">
      <c r="B6" s="437" t="s">
        <v>101</v>
      </c>
      <c r="C6" s="437"/>
      <c r="D6" s="437"/>
      <c r="E6" s="18"/>
    </row>
    <row r="7" spans="2:5" ht="15.75" thickBot="1" x14ac:dyDescent="0.3">
      <c r="B7" s="438" t="s">
        <v>102</v>
      </c>
      <c r="C7" s="438"/>
      <c r="D7" s="438"/>
    </row>
    <row r="8" spans="2:5" ht="15.75" thickBot="1" x14ac:dyDescent="0.3">
      <c r="B8" s="19" t="s">
        <v>55</v>
      </c>
      <c r="C8" s="20" t="s">
        <v>103</v>
      </c>
      <c r="D8" s="21" t="s">
        <v>104</v>
      </c>
    </row>
    <row r="9" spans="2:5" x14ac:dyDescent="0.25">
      <c r="B9" s="22">
        <v>1</v>
      </c>
      <c r="C9" s="23" t="s">
        <v>105</v>
      </c>
      <c r="D9" s="24" t="s">
        <v>51</v>
      </c>
    </row>
    <row r="10" spans="2:5" x14ac:dyDescent="0.25">
      <c r="B10" s="25">
        <v>2</v>
      </c>
      <c r="C10" s="26" t="s">
        <v>106</v>
      </c>
      <c r="D10" s="27" t="s">
        <v>51</v>
      </c>
    </row>
    <row r="11" spans="2:5" x14ac:dyDescent="0.25">
      <c r="B11" s="25">
        <v>3</v>
      </c>
      <c r="C11" s="26" t="s">
        <v>107</v>
      </c>
      <c r="D11" s="27" t="s">
        <v>51</v>
      </c>
    </row>
    <row r="12" spans="2:5" x14ac:dyDescent="0.25">
      <c r="B12" s="25">
        <v>4</v>
      </c>
      <c r="C12" s="26" t="s">
        <v>108</v>
      </c>
      <c r="D12" s="27" t="s">
        <v>51</v>
      </c>
    </row>
    <row r="13" spans="2:5" x14ac:dyDescent="0.25">
      <c r="B13" s="25">
        <v>5</v>
      </c>
      <c r="C13" s="26" t="s">
        <v>109</v>
      </c>
      <c r="D13" s="27" t="s">
        <v>51</v>
      </c>
    </row>
    <row r="14" spans="2:5" x14ac:dyDescent="0.25">
      <c r="B14" s="25">
        <v>6</v>
      </c>
      <c r="C14" s="26" t="s">
        <v>110</v>
      </c>
      <c r="D14" s="27" t="s">
        <v>51</v>
      </c>
    </row>
    <row r="15" spans="2:5" x14ac:dyDescent="0.25">
      <c r="B15" s="25">
        <v>7</v>
      </c>
      <c r="C15" s="26" t="s">
        <v>111</v>
      </c>
      <c r="D15" s="27" t="s">
        <v>51</v>
      </c>
    </row>
    <row r="16" spans="2:5" x14ac:dyDescent="0.25">
      <c r="B16" s="25">
        <v>8</v>
      </c>
      <c r="C16" s="26" t="s">
        <v>112</v>
      </c>
      <c r="D16" s="27" t="s">
        <v>51</v>
      </c>
    </row>
    <row r="17" spans="2:4" x14ac:dyDescent="0.25">
      <c r="B17" s="25">
        <v>9</v>
      </c>
      <c r="C17" s="26" t="s">
        <v>113</v>
      </c>
      <c r="D17" s="27" t="s">
        <v>51</v>
      </c>
    </row>
    <row r="18" spans="2:4" x14ac:dyDescent="0.25">
      <c r="B18" s="25">
        <v>10</v>
      </c>
      <c r="C18" s="26" t="s">
        <v>114</v>
      </c>
      <c r="D18" s="27" t="s">
        <v>51</v>
      </c>
    </row>
    <row r="19" spans="2:4" x14ac:dyDescent="0.25">
      <c r="B19" s="25">
        <v>11</v>
      </c>
      <c r="C19" s="26" t="s">
        <v>115</v>
      </c>
      <c r="D19" s="27" t="s">
        <v>51</v>
      </c>
    </row>
    <row r="20" spans="2:4" x14ac:dyDescent="0.25">
      <c r="B20" s="25">
        <v>12</v>
      </c>
      <c r="C20" s="26" t="s">
        <v>116</v>
      </c>
      <c r="D20" s="27" t="s">
        <v>51</v>
      </c>
    </row>
    <row r="21" spans="2:4" x14ac:dyDescent="0.25">
      <c r="B21" s="25">
        <v>13</v>
      </c>
      <c r="C21" s="26" t="s">
        <v>117</v>
      </c>
      <c r="D21" s="27" t="s">
        <v>51</v>
      </c>
    </row>
    <row r="22" spans="2:4" x14ac:dyDescent="0.25">
      <c r="B22" s="25">
        <v>14</v>
      </c>
      <c r="C22" s="26" t="s">
        <v>118</v>
      </c>
      <c r="D22" s="27" t="s">
        <v>51</v>
      </c>
    </row>
    <row r="23" spans="2:4" x14ac:dyDescent="0.25">
      <c r="B23" s="25">
        <v>15</v>
      </c>
      <c r="C23" s="26" t="s">
        <v>119</v>
      </c>
      <c r="D23" s="27" t="s">
        <v>51</v>
      </c>
    </row>
    <row r="24" spans="2:4" x14ac:dyDescent="0.25">
      <c r="B24" s="25">
        <v>16</v>
      </c>
      <c r="C24" s="26" t="s">
        <v>120</v>
      </c>
      <c r="D24" s="27" t="s">
        <v>51</v>
      </c>
    </row>
    <row r="25" spans="2:4" x14ac:dyDescent="0.25">
      <c r="B25" s="25">
        <v>17</v>
      </c>
      <c r="C25" s="26" t="s">
        <v>121</v>
      </c>
      <c r="D25" s="27" t="s">
        <v>51</v>
      </c>
    </row>
    <row r="26" spans="2:4" x14ac:dyDescent="0.25">
      <c r="B26" s="25">
        <v>18</v>
      </c>
      <c r="C26" s="26" t="s">
        <v>122</v>
      </c>
      <c r="D26" s="27" t="s">
        <v>51</v>
      </c>
    </row>
    <row r="27" spans="2:4" x14ac:dyDescent="0.25">
      <c r="B27" s="25">
        <v>19</v>
      </c>
      <c r="C27" s="26" t="s">
        <v>123</v>
      </c>
      <c r="D27" s="27" t="s">
        <v>51</v>
      </c>
    </row>
    <row r="28" spans="2:4" x14ac:dyDescent="0.25">
      <c r="B28" s="25">
        <v>20</v>
      </c>
      <c r="C28" s="26" t="s">
        <v>124</v>
      </c>
      <c r="D28" s="27" t="s">
        <v>51</v>
      </c>
    </row>
    <row r="29" spans="2:4" x14ac:dyDescent="0.25">
      <c r="B29" s="25">
        <v>21</v>
      </c>
      <c r="C29" s="26" t="s">
        <v>125</v>
      </c>
      <c r="D29" s="27" t="s">
        <v>51</v>
      </c>
    </row>
    <row r="30" spans="2:4" x14ac:dyDescent="0.25">
      <c r="B30" s="25">
        <v>22</v>
      </c>
      <c r="C30" s="26" t="s">
        <v>126</v>
      </c>
      <c r="D30" s="27" t="s">
        <v>51</v>
      </c>
    </row>
    <row r="31" spans="2:4" x14ac:dyDescent="0.25">
      <c r="B31" s="25">
        <v>23</v>
      </c>
      <c r="C31" s="26" t="s">
        <v>127</v>
      </c>
      <c r="D31" s="27" t="s">
        <v>51</v>
      </c>
    </row>
    <row r="32" spans="2:4" x14ac:dyDescent="0.25">
      <c r="B32" s="25">
        <v>24</v>
      </c>
      <c r="C32" s="26" t="s">
        <v>128</v>
      </c>
      <c r="D32" s="27" t="s">
        <v>51</v>
      </c>
    </row>
    <row r="33" spans="2:4" x14ac:dyDescent="0.25">
      <c r="B33" s="25">
        <v>25</v>
      </c>
      <c r="C33" s="26" t="s">
        <v>129</v>
      </c>
      <c r="D33" s="27" t="s">
        <v>51</v>
      </c>
    </row>
    <row r="34" spans="2:4" x14ac:dyDescent="0.25">
      <c r="B34" s="25">
        <v>26</v>
      </c>
      <c r="C34" s="26" t="s">
        <v>130</v>
      </c>
      <c r="D34" s="27" t="s">
        <v>51</v>
      </c>
    </row>
    <row r="35" spans="2:4" x14ac:dyDescent="0.25">
      <c r="B35" s="25">
        <v>27</v>
      </c>
      <c r="C35" s="26" t="s">
        <v>131</v>
      </c>
      <c r="D35" s="27" t="s">
        <v>51</v>
      </c>
    </row>
    <row r="36" spans="2:4" x14ac:dyDescent="0.25">
      <c r="B36" s="25">
        <v>28</v>
      </c>
      <c r="C36" s="26" t="s">
        <v>132</v>
      </c>
      <c r="D36" s="27" t="s">
        <v>51</v>
      </c>
    </row>
    <row r="37" spans="2:4" x14ac:dyDescent="0.25">
      <c r="B37" s="25">
        <v>29</v>
      </c>
      <c r="C37" s="26" t="s">
        <v>133</v>
      </c>
      <c r="D37" s="27" t="s">
        <v>51</v>
      </c>
    </row>
    <row r="38" spans="2:4" x14ac:dyDescent="0.25">
      <c r="B38" s="25">
        <v>30</v>
      </c>
      <c r="C38" s="26" t="s">
        <v>134</v>
      </c>
      <c r="D38" s="27" t="s">
        <v>51</v>
      </c>
    </row>
    <row r="39" spans="2:4" x14ac:dyDescent="0.25">
      <c r="B39" s="25">
        <v>31</v>
      </c>
      <c r="C39" s="26" t="s">
        <v>135</v>
      </c>
      <c r="D39" s="27" t="s">
        <v>51</v>
      </c>
    </row>
    <row r="40" spans="2:4" x14ac:dyDescent="0.25">
      <c r="B40" s="25">
        <v>32</v>
      </c>
      <c r="C40" s="26" t="s">
        <v>136</v>
      </c>
      <c r="D40" s="27" t="s">
        <v>51</v>
      </c>
    </row>
    <row r="41" spans="2:4" x14ac:dyDescent="0.25">
      <c r="B41" s="25">
        <v>33</v>
      </c>
      <c r="C41" s="26" t="s">
        <v>137</v>
      </c>
      <c r="D41" s="27" t="s">
        <v>51</v>
      </c>
    </row>
    <row r="42" spans="2:4" x14ac:dyDescent="0.25">
      <c r="B42" s="25">
        <v>34</v>
      </c>
      <c r="C42" s="26" t="s">
        <v>138</v>
      </c>
      <c r="D42" s="27" t="s">
        <v>51</v>
      </c>
    </row>
    <row r="43" spans="2:4" x14ac:dyDescent="0.25">
      <c r="B43" s="25">
        <v>35</v>
      </c>
      <c r="C43" s="26" t="s">
        <v>139</v>
      </c>
      <c r="D43" s="27" t="s">
        <v>51</v>
      </c>
    </row>
    <row r="44" spans="2:4" x14ac:dyDescent="0.25">
      <c r="B44" s="25">
        <v>36</v>
      </c>
      <c r="C44" s="26" t="s">
        <v>140</v>
      </c>
      <c r="D44" s="27" t="s">
        <v>51</v>
      </c>
    </row>
    <row r="45" spans="2:4" x14ac:dyDescent="0.25">
      <c r="B45" s="25">
        <v>37</v>
      </c>
      <c r="C45" s="26" t="s">
        <v>141</v>
      </c>
      <c r="D45" s="27" t="s">
        <v>51</v>
      </c>
    </row>
    <row r="46" spans="2:4" x14ac:dyDescent="0.25">
      <c r="B46" s="25">
        <v>38</v>
      </c>
      <c r="C46" s="26" t="s">
        <v>142</v>
      </c>
      <c r="D46" s="27" t="s">
        <v>51</v>
      </c>
    </row>
    <row r="47" spans="2:4" x14ac:dyDescent="0.25">
      <c r="B47" s="25">
        <v>39</v>
      </c>
      <c r="C47" s="26" t="s">
        <v>143</v>
      </c>
      <c r="D47" s="27" t="s">
        <v>51</v>
      </c>
    </row>
    <row r="48" spans="2:4" x14ac:dyDescent="0.25">
      <c r="B48" s="25">
        <v>40</v>
      </c>
      <c r="C48" s="26" t="s">
        <v>144</v>
      </c>
      <c r="D48" s="27" t="s">
        <v>51</v>
      </c>
    </row>
    <row r="49" spans="2:4" x14ac:dyDescent="0.25">
      <c r="B49" s="25">
        <v>41</v>
      </c>
      <c r="C49" s="26" t="s">
        <v>145</v>
      </c>
      <c r="D49" s="27" t="s">
        <v>51</v>
      </c>
    </row>
    <row r="50" spans="2:4" x14ac:dyDescent="0.25">
      <c r="B50" s="25">
        <v>42</v>
      </c>
      <c r="C50" s="26" t="s">
        <v>146</v>
      </c>
      <c r="D50" s="27" t="s">
        <v>51</v>
      </c>
    </row>
    <row r="51" spans="2:4" x14ac:dyDescent="0.25">
      <c r="B51" s="25">
        <v>43</v>
      </c>
      <c r="C51" s="26" t="s">
        <v>147</v>
      </c>
      <c r="D51" s="27" t="s">
        <v>51</v>
      </c>
    </row>
    <row r="52" spans="2:4" x14ac:dyDescent="0.25">
      <c r="B52" s="25">
        <v>44</v>
      </c>
      <c r="C52" s="26" t="s">
        <v>148</v>
      </c>
      <c r="D52" s="27" t="s">
        <v>51</v>
      </c>
    </row>
    <row r="53" spans="2:4" x14ac:dyDescent="0.25">
      <c r="B53" s="25">
        <v>45</v>
      </c>
      <c r="C53" s="26" t="s">
        <v>149</v>
      </c>
      <c r="D53" s="27" t="s">
        <v>51</v>
      </c>
    </row>
    <row r="54" spans="2:4" x14ac:dyDescent="0.25">
      <c r="B54" s="25">
        <v>46</v>
      </c>
      <c r="C54" s="26" t="s">
        <v>150</v>
      </c>
      <c r="D54" s="27" t="s">
        <v>51</v>
      </c>
    </row>
    <row r="55" spans="2:4" ht="15.75" thickBot="1" x14ac:dyDescent="0.3">
      <c r="B55" s="28">
        <v>47</v>
      </c>
      <c r="C55" s="29" t="s">
        <v>151</v>
      </c>
      <c r="D55" s="30" t="s">
        <v>51</v>
      </c>
    </row>
    <row r="56" spans="2:4" ht="15.75" x14ac:dyDescent="0.25">
      <c r="B56" s="439" t="s">
        <v>152</v>
      </c>
      <c r="C56" s="439"/>
      <c r="D56" s="439"/>
    </row>
    <row r="57" spans="2:4" ht="15.75" x14ac:dyDescent="0.25">
      <c r="B57" s="439"/>
      <c r="C57" s="439"/>
      <c r="D57" s="439"/>
    </row>
    <row r="58" spans="2:4" ht="15.75" thickBot="1" x14ac:dyDescent="0.3">
      <c r="B58" s="435" t="s">
        <v>153</v>
      </c>
      <c r="C58" s="435"/>
      <c r="D58" s="435"/>
    </row>
    <row r="59" spans="2:4" x14ac:dyDescent="0.25">
      <c r="B59" s="31">
        <v>1</v>
      </c>
      <c r="C59" s="32" t="s">
        <v>154</v>
      </c>
      <c r="D59" s="33" t="s">
        <v>51</v>
      </c>
    </row>
    <row r="60" spans="2:4" x14ac:dyDescent="0.25">
      <c r="B60" s="34">
        <v>2</v>
      </c>
      <c r="C60" s="35" t="s">
        <v>155</v>
      </c>
      <c r="D60" s="36" t="s">
        <v>51</v>
      </c>
    </row>
    <row r="61" spans="2:4" ht="15.75" thickBot="1" x14ac:dyDescent="0.3">
      <c r="B61" s="37">
        <v>3</v>
      </c>
      <c r="C61" s="38" t="s">
        <v>156</v>
      </c>
      <c r="D61" s="39" t="s">
        <v>51</v>
      </c>
    </row>
    <row r="62" spans="2:4" ht="15.75" x14ac:dyDescent="0.25">
      <c r="B62" s="439"/>
      <c r="C62" s="439"/>
      <c r="D62" s="439"/>
    </row>
    <row r="63" spans="2:4" ht="16.5" thickBot="1" x14ac:dyDescent="0.3">
      <c r="B63" s="440" t="s">
        <v>157</v>
      </c>
      <c r="C63" s="440"/>
      <c r="D63" s="440"/>
    </row>
    <row r="64" spans="2:4" ht="16.5" thickBot="1" x14ac:dyDescent="0.3">
      <c r="B64" s="40" t="s">
        <v>158</v>
      </c>
      <c r="C64" s="41" t="s">
        <v>159</v>
      </c>
      <c r="D64" s="42" t="s">
        <v>160</v>
      </c>
    </row>
    <row r="65" spans="2:4" x14ac:dyDescent="0.25">
      <c r="B65" s="31">
        <v>1</v>
      </c>
      <c r="C65" s="32" t="s">
        <v>161</v>
      </c>
      <c r="D65" s="33" t="s">
        <v>100</v>
      </c>
    </row>
    <row r="66" spans="2:4" x14ac:dyDescent="0.25">
      <c r="B66" s="34">
        <v>2</v>
      </c>
      <c r="C66" s="35" t="s">
        <v>162</v>
      </c>
      <c r="D66" s="36" t="s">
        <v>100</v>
      </c>
    </row>
    <row r="67" spans="2:4" x14ac:dyDescent="0.25">
      <c r="B67" s="34">
        <v>3</v>
      </c>
      <c r="C67" s="35" t="s">
        <v>163</v>
      </c>
      <c r="D67" s="36" t="s">
        <v>100</v>
      </c>
    </row>
    <row r="68" spans="2:4" x14ac:dyDescent="0.25">
      <c r="B68" s="34">
        <v>4</v>
      </c>
      <c r="C68" s="43" t="s">
        <v>164</v>
      </c>
      <c r="D68" s="36" t="s">
        <v>100</v>
      </c>
    </row>
    <row r="69" spans="2:4" x14ac:dyDescent="0.25">
      <c r="B69" s="34">
        <v>5</v>
      </c>
      <c r="C69" s="35" t="s">
        <v>165</v>
      </c>
      <c r="D69" s="36" t="s">
        <v>166</v>
      </c>
    </row>
    <row r="70" spans="2:4" x14ac:dyDescent="0.25">
      <c r="B70" s="34">
        <v>6</v>
      </c>
      <c r="C70" s="35" t="s">
        <v>167</v>
      </c>
      <c r="D70" s="36" t="s">
        <v>166</v>
      </c>
    </row>
    <row r="71" spans="2:4" x14ac:dyDescent="0.25">
      <c r="B71" s="34">
        <v>7</v>
      </c>
      <c r="C71" s="35" t="s">
        <v>168</v>
      </c>
      <c r="D71" s="36" t="s">
        <v>166</v>
      </c>
    </row>
    <row r="72" spans="2:4" ht="15.75" thickBot="1" x14ac:dyDescent="0.3">
      <c r="B72" s="37">
        <v>8</v>
      </c>
      <c r="C72" s="38" t="s">
        <v>169</v>
      </c>
      <c r="D72" s="39" t="s">
        <v>166</v>
      </c>
    </row>
    <row r="73" spans="2:4" x14ac:dyDescent="0.25">
      <c r="B73" s="441"/>
      <c r="C73" s="441"/>
      <c r="D73" s="441"/>
    </row>
    <row r="74" spans="2:4" ht="18" x14ac:dyDescent="0.25">
      <c r="B74" s="437" t="s">
        <v>170</v>
      </c>
      <c r="C74" s="437"/>
      <c r="D74" s="437"/>
    </row>
    <row r="75" spans="2:4" ht="15.75" thickBot="1" x14ac:dyDescent="0.3">
      <c r="B75" s="442" t="s">
        <v>102</v>
      </c>
      <c r="C75" s="442"/>
      <c r="D75" s="442"/>
    </row>
    <row r="76" spans="2:4" ht="15.75" x14ac:dyDescent="0.25">
      <c r="B76" s="31" t="s">
        <v>171</v>
      </c>
      <c r="C76" s="32" t="s">
        <v>172</v>
      </c>
      <c r="D76" s="33" t="s">
        <v>173</v>
      </c>
    </row>
    <row r="77" spans="2:4" ht="15.75" x14ac:dyDescent="0.25">
      <c r="B77" s="34" t="s">
        <v>174</v>
      </c>
      <c r="C77" s="35" t="s">
        <v>175</v>
      </c>
      <c r="D77" s="36" t="s">
        <v>173</v>
      </c>
    </row>
    <row r="78" spans="2:4" ht="15.75" x14ac:dyDescent="0.25">
      <c r="B78" s="34" t="s">
        <v>176</v>
      </c>
      <c r="C78" s="35" t="s">
        <v>177</v>
      </c>
      <c r="D78" s="36" t="s">
        <v>173</v>
      </c>
    </row>
    <row r="79" spans="2:4" ht="15.75" x14ac:dyDescent="0.25">
      <c r="B79" s="34" t="s">
        <v>178</v>
      </c>
      <c r="C79" s="35" t="s">
        <v>179</v>
      </c>
      <c r="D79" s="36" t="s">
        <v>173</v>
      </c>
    </row>
    <row r="80" spans="2:4" ht="15.75" x14ac:dyDescent="0.25">
      <c r="B80" s="34" t="s">
        <v>180</v>
      </c>
      <c r="C80" s="35" t="s">
        <v>181</v>
      </c>
      <c r="D80" s="36" t="s">
        <v>173</v>
      </c>
    </row>
    <row r="81" spans="2:4" ht="15.75" x14ac:dyDescent="0.25">
      <c r="B81" s="34" t="s">
        <v>182</v>
      </c>
      <c r="C81" s="35" t="s">
        <v>183</v>
      </c>
      <c r="D81" s="36" t="s">
        <v>173</v>
      </c>
    </row>
    <row r="82" spans="2:4" ht="15.75" x14ac:dyDescent="0.25">
      <c r="B82" s="34" t="s">
        <v>184</v>
      </c>
      <c r="C82" s="35" t="s">
        <v>185</v>
      </c>
      <c r="D82" s="36" t="s">
        <v>173</v>
      </c>
    </row>
    <row r="83" spans="2:4" ht="15.75" x14ac:dyDescent="0.25">
      <c r="B83" s="34" t="s">
        <v>186</v>
      </c>
      <c r="C83" s="35" t="s">
        <v>187</v>
      </c>
      <c r="D83" s="36" t="s">
        <v>173</v>
      </c>
    </row>
    <row r="84" spans="2:4" ht="15.75" x14ac:dyDescent="0.25">
      <c r="B84" s="34" t="s">
        <v>188</v>
      </c>
      <c r="C84" s="35" t="s">
        <v>189</v>
      </c>
      <c r="D84" s="36" t="s">
        <v>173</v>
      </c>
    </row>
    <row r="85" spans="2:4" ht="15.75" x14ac:dyDescent="0.25">
      <c r="B85" s="34" t="s">
        <v>190</v>
      </c>
      <c r="C85" s="35" t="s">
        <v>191</v>
      </c>
      <c r="D85" s="36" t="s">
        <v>173</v>
      </c>
    </row>
    <row r="86" spans="2:4" ht="15.75" x14ac:dyDescent="0.25">
      <c r="B86" s="34" t="s">
        <v>192</v>
      </c>
      <c r="C86" s="35" t="s">
        <v>193</v>
      </c>
      <c r="D86" s="36" t="s">
        <v>173</v>
      </c>
    </row>
    <row r="87" spans="2:4" ht="15.75" x14ac:dyDescent="0.25">
      <c r="B87" s="34" t="s">
        <v>194</v>
      </c>
      <c r="C87" s="35" t="s">
        <v>195</v>
      </c>
      <c r="D87" s="36" t="s">
        <v>173</v>
      </c>
    </row>
    <row r="88" spans="2:4" ht="15.75" x14ac:dyDescent="0.25">
      <c r="B88" s="34" t="s">
        <v>196</v>
      </c>
      <c r="C88" s="35" t="s">
        <v>197</v>
      </c>
      <c r="D88" s="36" t="s">
        <v>173</v>
      </c>
    </row>
    <row r="89" spans="2:4" ht="15.75" x14ac:dyDescent="0.25">
      <c r="B89" s="34" t="s">
        <v>198</v>
      </c>
      <c r="C89" s="35" t="s">
        <v>199</v>
      </c>
      <c r="D89" s="36" t="s">
        <v>173</v>
      </c>
    </row>
    <row r="90" spans="2:4" ht="15.75" x14ac:dyDescent="0.25">
      <c r="B90" s="34" t="s">
        <v>200</v>
      </c>
      <c r="C90" s="35" t="s">
        <v>201</v>
      </c>
      <c r="D90" s="36" t="s">
        <v>173</v>
      </c>
    </row>
    <row r="91" spans="2:4" ht="15.75" x14ac:dyDescent="0.25">
      <c r="B91" s="34" t="s">
        <v>202</v>
      </c>
      <c r="C91" s="35" t="s">
        <v>203</v>
      </c>
      <c r="D91" s="36" t="s">
        <v>173</v>
      </c>
    </row>
    <row r="92" spans="2:4" ht="15.75" x14ac:dyDescent="0.25">
      <c r="B92" s="34" t="s">
        <v>204</v>
      </c>
      <c r="C92" s="35" t="s">
        <v>205</v>
      </c>
      <c r="D92" s="36" t="s">
        <v>173</v>
      </c>
    </row>
    <row r="93" spans="2:4" ht="15.75" x14ac:dyDescent="0.25">
      <c r="B93" s="34" t="s">
        <v>206</v>
      </c>
      <c r="C93" s="35" t="s">
        <v>207</v>
      </c>
      <c r="D93" s="36" t="s">
        <v>173</v>
      </c>
    </row>
    <row r="94" spans="2:4" ht="15.75" x14ac:dyDescent="0.25">
      <c r="B94" s="34" t="s">
        <v>208</v>
      </c>
      <c r="C94" s="35" t="s">
        <v>209</v>
      </c>
      <c r="D94" s="36" t="s">
        <v>173</v>
      </c>
    </row>
    <row r="95" spans="2:4" ht="15.75" x14ac:dyDescent="0.25">
      <c r="B95" s="34" t="s">
        <v>210</v>
      </c>
      <c r="C95" s="35" t="s">
        <v>211</v>
      </c>
      <c r="D95" s="36" t="s">
        <v>173</v>
      </c>
    </row>
    <row r="96" spans="2:4" ht="15.75" x14ac:dyDescent="0.25">
      <c r="B96" s="34" t="s">
        <v>212</v>
      </c>
      <c r="C96" s="35" t="s">
        <v>213</v>
      </c>
      <c r="D96" s="36" t="s">
        <v>173</v>
      </c>
    </row>
    <row r="97" spans="2:4" ht="15.75" x14ac:dyDescent="0.25">
      <c r="B97" s="34" t="s">
        <v>214</v>
      </c>
      <c r="C97" s="35" t="s">
        <v>215</v>
      </c>
      <c r="D97" s="36" t="s">
        <v>173</v>
      </c>
    </row>
    <row r="98" spans="2:4" ht="15.75" x14ac:dyDescent="0.25">
      <c r="B98" s="34" t="s">
        <v>216</v>
      </c>
      <c r="C98" s="35" t="s">
        <v>217</v>
      </c>
      <c r="D98" s="36" t="s">
        <v>173</v>
      </c>
    </row>
    <row r="99" spans="2:4" ht="15.75" x14ac:dyDescent="0.25">
      <c r="B99" s="34" t="s">
        <v>218</v>
      </c>
      <c r="C99" s="35" t="s">
        <v>219</v>
      </c>
      <c r="D99" s="36" t="s">
        <v>173</v>
      </c>
    </row>
    <row r="100" spans="2:4" ht="15.75" x14ac:dyDescent="0.25">
      <c r="B100" s="34" t="s">
        <v>220</v>
      </c>
      <c r="C100" s="35" t="s">
        <v>221</v>
      </c>
      <c r="D100" s="36" t="s">
        <v>173</v>
      </c>
    </row>
    <row r="101" spans="2:4" ht="15.75" x14ac:dyDescent="0.25">
      <c r="B101" s="34" t="s">
        <v>222</v>
      </c>
      <c r="C101" s="35" t="s">
        <v>223</v>
      </c>
      <c r="D101" s="36" t="s">
        <v>173</v>
      </c>
    </row>
    <row r="102" spans="2:4" ht="15.75" x14ac:dyDescent="0.25">
      <c r="B102" s="34" t="s">
        <v>224</v>
      </c>
      <c r="C102" s="35" t="s">
        <v>225</v>
      </c>
      <c r="D102" s="36" t="s">
        <v>173</v>
      </c>
    </row>
    <row r="103" spans="2:4" ht="15.75" x14ac:dyDescent="0.25">
      <c r="B103" s="34" t="s">
        <v>226</v>
      </c>
      <c r="C103" s="35" t="s">
        <v>227</v>
      </c>
      <c r="D103" s="36" t="s">
        <v>173</v>
      </c>
    </row>
    <row r="104" spans="2:4" ht="16.5" thickBot="1" x14ac:dyDescent="0.3">
      <c r="B104" s="37" t="s">
        <v>228</v>
      </c>
      <c r="C104" s="38" t="s">
        <v>229</v>
      </c>
      <c r="D104" s="39" t="s">
        <v>173</v>
      </c>
    </row>
    <row r="105" spans="2:4" x14ac:dyDescent="0.25">
      <c r="B105" s="438"/>
      <c r="C105" s="438"/>
      <c r="D105" s="438"/>
    </row>
    <row r="106" spans="2:4" ht="15.75" thickBot="1" x14ac:dyDescent="0.3">
      <c r="B106" s="435" t="s">
        <v>153</v>
      </c>
      <c r="C106" s="435"/>
      <c r="D106" s="435"/>
    </row>
    <row r="107" spans="2:4" x14ac:dyDescent="0.25">
      <c r="B107" s="31">
        <v>1</v>
      </c>
      <c r="C107" s="32" t="s">
        <v>230</v>
      </c>
      <c r="D107" s="33" t="s">
        <v>173</v>
      </c>
    </row>
    <row r="108" spans="2:4" x14ac:dyDescent="0.25">
      <c r="B108" s="34">
        <v>2</v>
      </c>
      <c r="C108" s="35" t="s">
        <v>231</v>
      </c>
      <c r="D108" s="36" t="s">
        <v>173</v>
      </c>
    </row>
    <row r="109" spans="2:4" x14ac:dyDescent="0.25">
      <c r="B109" s="34">
        <v>3</v>
      </c>
      <c r="C109" s="35" t="s">
        <v>232</v>
      </c>
      <c r="D109" s="36" t="s">
        <v>173</v>
      </c>
    </row>
    <row r="110" spans="2:4" x14ac:dyDescent="0.25">
      <c r="B110" s="34">
        <v>4</v>
      </c>
      <c r="C110" s="35" t="s">
        <v>233</v>
      </c>
      <c r="D110" s="36" t="s">
        <v>173</v>
      </c>
    </row>
    <row r="111" spans="2:4" x14ac:dyDescent="0.25">
      <c r="B111" s="34">
        <v>5</v>
      </c>
      <c r="C111" s="35" t="s">
        <v>234</v>
      </c>
      <c r="D111" s="36" t="s">
        <v>173</v>
      </c>
    </row>
    <row r="112" spans="2:4" ht="15.75" thickBot="1" x14ac:dyDescent="0.3">
      <c r="B112" s="37">
        <v>6</v>
      </c>
      <c r="C112" s="38" t="s">
        <v>235</v>
      </c>
      <c r="D112" s="39" t="s">
        <v>173</v>
      </c>
    </row>
    <row r="113" spans="2:4" ht="15.75" thickBot="1" x14ac:dyDescent="0.3">
      <c r="B113" s="44"/>
      <c r="C113" s="45"/>
      <c r="D113" s="44"/>
    </row>
    <row r="114" spans="2:4" ht="16.5" thickBot="1" x14ac:dyDescent="0.3">
      <c r="B114" s="440" t="s">
        <v>157</v>
      </c>
      <c r="C114" s="440"/>
      <c r="D114" s="440"/>
    </row>
    <row r="115" spans="2:4" ht="16.5" thickBot="1" x14ac:dyDescent="0.3">
      <c r="B115" s="40" t="s">
        <v>158</v>
      </c>
      <c r="C115" s="41" t="s">
        <v>159</v>
      </c>
      <c r="D115" s="42" t="s">
        <v>160</v>
      </c>
    </row>
    <row r="116" spans="2:4" x14ac:dyDescent="0.25">
      <c r="B116" s="31">
        <v>1</v>
      </c>
      <c r="C116" s="32" t="s">
        <v>236</v>
      </c>
      <c r="D116" s="33" t="s">
        <v>166</v>
      </c>
    </row>
    <row r="117" spans="2:4" x14ac:dyDescent="0.25">
      <c r="B117" s="34">
        <v>2</v>
      </c>
      <c r="C117" s="35" t="s">
        <v>237</v>
      </c>
      <c r="D117" s="36" t="s">
        <v>166</v>
      </c>
    </row>
    <row r="118" spans="2:4" x14ac:dyDescent="0.25">
      <c r="B118" s="34">
        <v>3</v>
      </c>
      <c r="C118" s="35" t="s">
        <v>238</v>
      </c>
      <c r="D118" s="36" t="s">
        <v>166</v>
      </c>
    </row>
    <row r="119" spans="2:4" x14ac:dyDescent="0.25">
      <c r="B119" s="34">
        <v>4</v>
      </c>
      <c r="C119" s="35" t="s">
        <v>239</v>
      </c>
      <c r="D119" s="36" t="s">
        <v>166</v>
      </c>
    </row>
    <row r="120" spans="2:4" ht="15.75" thickBot="1" x14ac:dyDescent="0.3">
      <c r="B120" s="37">
        <v>5</v>
      </c>
      <c r="C120" s="38" t="s">
        <v>240</v>
      </c>
      <c r="D120" s="39" t="s">
        <v>166</v>
      </c>
    </row>
    <row r="121" spans="2:4" x14ac:dyDescent="0.25">
      <c r="B121" s="441"/>
      <c r="C121" s="441"/>
      <c r="D121" s="441"/>
    </row>
    <row r="122" spans="2:4" ht="18" x14ac:dyDescent="0.25">
      <c r="B122" s="437" t="s">
        <v>241</v>
      </c>
      <c r="C122" s="437"/>
      <c r="D122" s="437"/>
    </row>
    <row r="123" spans="2:4" ht="15.75" thickBot="1" x14ac:dyDescent="0.3">
      <c r="B123" s="442" t="s">
        <v>102</v>
      </c>
      <c r="C123" s="442"/>
      <c r="D123" s="442"/>
    </row>
    <row r="124" spans="2:4" ht="15.75" x14ac:dyDescent="0.25">
      <c r="B124" s="31" t="s">
        <v>171</v>
      </c>
      <c r="C124" s="32" t="s">
        <v>242</v>
      </c>
      <c r="D124" s="33" t="s">
        <v>243</v>
      </c>
    </row>
    <row r="125" spans="2:4" ht="15.75" x14ac:dyDescent="0.25">
      <c r="B125" s="34" t="s">
        <v>174</v>
      </c>
      <c r="C125" s="35" t="s">
        <v>244</v>
      </c>
      <c r="D125" s="36" t="s">
        <v>243</v>
      </c>
    </row>
    <row r="126" spans="2:4" ht="15.75" x14ac:dyDescent="0.25">
      <c r="B126" s="34" t="s">
        <v>176</v>
      </c>
      <c r="C126" s="35" t="s">
        <v>245</v>
      </c>
      <c r="D126" s="36" t="s">
        <v>243</v>
      </c>
    </row>
    <row r="127" spans="2:4" ht="15.75" x14ac:dyDescent="0.25">
      <c r="B127" s="34" t="s">
        <v>178</v>
      </c>
      <c r="C127" s="35" t="s">
        <v>246</v>
      </c>
      <c r="D127" s="36" t="s">
        <v>243</v>
      </c>
    </row>
    <row r="128" spans="2:4" ht="15.75" x14ac:dyDescent="0.25">
      <c r="B128" s="34" t="s">
        <v>180</v>
      </c>
      <c r="C128" s="35" t="s">
        <v>247</v>
      </c>
      <c r="D128" s="36" t="s">
        <v>243</v>
      </c>
    </row>
    <row r="129" spans="2:4" ht="15.75" x14ac:dyDescent="0.25">
      <c r="B129" s="34" t="s">
        <v>182</v>
      </c>
      <c r="C129" s="35" t="s">
        <v>248</v>
      </c>
      <c r="D129" s="36" t="s">
        <v>243</v>
      </c>
    </row>
    <row r="130" spans="2:4" ht="15.75" x14ac:dyDescent="0.25">
      <c r="B130" s="34" t="s">
        <v>184</v>
      </c>
      <c r="C130" s="35" t="s">
        <v>249</v>
      </c>
      <c r="D130" s="36" t="s">
        <v>243</v>
      </c>
    </row>
    <row r="131" spans="2:4" ht="15.75" x14ac:dyDescent="0.25">
      <c r="B131" s="34" t="s">
        <v>186</v>
      </c>
      <c r="C131" s="35" t="s">
        <v>250</v>
      </c>
      <c r="D131" s="36" t="s">
        <v>243</v>
      </c>
    </row>
    <row r="132" spans="2:4" ht="15.75" x14ac:dyDescent="0.25">
      <c r="B132" s="34" t="s">
        <v>188</v>
      </c>
      <c r="C132" s="35" t="s">
        <v>251</v>
      </c>
      <c r="D132" s="36" t="s">
        <v>243</v>
      </c>
    </row>
    <row r="133" spans="2:4" ht="15.75" x14ac:dyDescent="0.25">
      <c r="B133" s="34" t="s">
        <v>190</v>
      </c>
      <c r="C133" s="35" t="s">
        <v>252</v>
      </c>
      <c r="D133" s="36" t="s">
        <v>243</v>
      </c>
    </row>
    <row r="134" spans="2:4" ht="15.75" x14ac:dyDescent="0.25">
      <c r="B134" s="34" t="s">
        <v>192</v>
      </c>
      <c r="C134" s="35" t="s">
        <v>253</v>
      </c>
      <c r="D134" s="36" t="s">
        <v>243</v>
      </c>
    </row>
    <row r="135" spans="2:4" ht="15.75" x14ac:dyDescent="0.25">
      <c r="B135" s="34" t="s">
        <v>194</v>
      </c>
      <c r="C135" s="35" t="s">
        <v>254</v>
      </c>
      <c r="D135" s="36" t="s">
        <v>243</v>
      </c>
    </row>
    <row r="136" spans="2:4" ht="15.75" x14ac:dyDescent="0.25">
      <c r="B136" s="34" t="s">
        <v>196</v>
      </c>
      <c r="C136" s="35" t="s">
        <v>255</v>
      </c>
      <c r="D136" s="36" t="s">
        <v>243</v>
      </c>
    </row>
    <row r="137" spans="2:4" ht="15.75" x14ac:dyDescent="0.25">
      <c r="B137" s="34" t="s">
        <v>198</v>
      </c>
      <c r="C137" s="35" t="s">
        <v>256</v>
      </c>
      <c r="D137" s="36" t="s">
        <v>243</v>
      </c>
    </row>
    <row r="138" spans="2:4" ht="15.75" x14ac:dyDescent="0.25">
      <c r="B138" s="34" t="s">
        <v>200</v>
      </c>
      <c r="C138" s="35" t="s">
        <v>257</v>
      </c>
      <c r="D138" s="36" t="s">
        <v>243</v>
      </c>
    </row>
    <row r="139" spans="2:4" ht="15.75" x14ac:dyDescent="0.25">
      <c r="B139" s="34" t="s">
        <v>202</v>
      </c>
      <c r="C139" s="35" t="s">
        <v>258</v>
      </c>
      <c r="D139" s="36" t="s">
        <v>243</v>
      </c>
    </row>
    <row r="140" spans="2:4" ht="15.75" x14ac:dyDescent="0.25">
      <c r="B140" s="34" t="s">
        <v>204</v>
      </c>
      <c r="C140" s="35" t="s">
        <v>259</v>
      </c>
      <c r="D140" s="36" t="s">
        <v>243</v>
      </c>
    </row>
    <row r="141" spans="2:4" ht="15.75" x14ac:dyDescent="0.25">
      <c r="B141" s="34" t="s">
        <v>206</v>
      </c>
      <c r="C141" s="35" t="s">
        <v>260</v>
      </c>
      <c r="D141" s="36" t="s">
        <v>243</v>
      </c>
    </row>
    <row r="142" spans="2:4" ht="15.75" x14ac:dyDescent="0.25">
      <c r="B142" s="34" t="s">
        <v>208</v>
      </c>
      <c r="C142" s="35" t="s">
        <v>193</v>
      </c>
      <c r="D142" s="36" t="s">
        <v>243</v>
      </c>
    </row>
    <row r="143" spans="2:4" ht="15.75" x14ac:dyDescent="0.25">
      <c r="B143" s="34" t="s">
        <v>210</v>
      </c>
      <c r="C143" s="35" t="s">
        <v>261</v>
      </c>
      <c r="D143" s="36" t="s">
        <v>243</v>
      </c>
    </row>
    <row r="144" spans="2:4" ht="15.75" x14ac:dyDescent="0.25">
      <c r="B144" s="34" t="s">
        <v>212</v>
      </c>
      <c r="C144" s="35" t="s">
        <v>262</v>
      </c>
      <c r="D144" s="36" t="s">
        <v>243</v>
      </c>
    </row>
    <row r="145" spans="2:4" ht="15.75" x14ac:dyDescent="0.25">
      <c r="B145" s="34" t="s">
        <v>214</v>
      </c>
      <c r="C145" s="35" t="s">
        <v>263</v>
      </c>
      <c r="D145" s="36" t="s">
        <v>243</v>
      </c>
    </row>
    <row r="146" spans="2:4" ht="15.75" x14ac:dyDescent="0.25">
      <c r="B146" s="34" t="s">
        <v>216</v>
      </c>
      <c r="C146" s="35" t="s">
        <v>264</v>
      </c>
      <c r="D146" s="36" t="s">
        <v>243</v>
      </c>
    </row>
    <row r="147" spans="2:4" ht="15.75" x14ac:dyDescent="0.25">
      <c r="B147" s="34" t="s">
        <v>218</v>
      </c>
      <c r="C147" s="35" t="s">
        <v>265</v>
      </c>
      <c r="D147" s="36" t="s">
        <v>243</v>
      </c>
    </row>
    <row r="148" spans="2:4" ht="15.75" x14ac:dyDescent="0.25">
      <c r="B148" s="34" t="s">
        <v>220</v>
      </c>
      <c r="C148" s="35" t="s">
        <v>266</v>
      </c>
      <c r="D148" s="36" t="s">
        <v>243</v>
      </c>
    </row>
    <row r="149" spans="2:4" ht="15.75" x14ac:dyDescent="0.25">
      <c r="B149" s="34" t="s">
        <v>222</v>
      </c>
      <c r="C149" s="35" t="s">
        <v>267</v>
      </c>
      <c r="D149" s="36" t="s">
        <v>243</v>
      </c>
    </row>
    <row r="150" spans="2:4" ht="15.75" x14ac:dyDescent="0.25">
      <c r="B150" s="34" t="s">
        <v>224</v>
      </c>
      <c r="C150" s="35" t="s">
        <v>268</v>
      </c>
      <c r="D150" s="36" t="s">
        <v>243</v>
      </c>
    </row>
    <row r="151" spans="2:4" ht="15.75" x14ac:dyDescent="0.25">
      <c r="B151" s="34" t="s">
        <v>226</v>
      </c>
      <c r="C151" s="35" t="s">
        <v>269</v>
      </c>
      <c r="D151" s="36" t="s">
        <v>243</v>
      </c>
    </row>
    <row r="152" spans="2:4" ht="15.75" x14ac:dyDescent="0.25">
      <c r="B152" s="34" t="s">
        <v>228</v>
      </c>
      <c r="C152" s="35" t="s">
        <v>270</v>
      </c>
      <c r="D152" s="36" t="s">
        <v>243</v>
      </c>
    </row>
    <row r="153" spans="2:4" ht="15.75" x14ac:dyDescent="0.25">
      <c r="B153" s="34" t="s">
        <v>271</v>
      </c>
      <c r="C153" s="35" t="s">
        <v>272</v>
      </c>
      <c r="D153" s="36" t="s">
        <v>243</v>
      </c>
    </row>
    <row r="154" spans="2:4" ht="15.75" x14ac:dyDescent="0.25">
      <c r="B154" s="34" t="s">
        <v>273</v>
      </c>
      <c r="C154" s="35" t="s">
        <v>274</v>
      </c>
      <c r="D154" s="36" t="s">
        <v>243</v>
      </c>
    </row>
    <row r="155" spans="2:4" ht="15.75" x14ac:dyDescent="0.25">
      <c r="B155" s="34" t="s">
        <v>275</v>
      </c>
      <c r="C155" s="35" t="s">
        <v>276</v>
      </c>
      <c r="D155" s="36" t="s">
        <v>243</v>
      </c>
    </row>
    <row r="156" spans="2:4" ht="15.75" x14ac:dyDescent="0.25">
      <c r="B156" s="34" t="s">
        <v>277</v>
      </c>
      <c r="C156" s="35" t="s">
        <v>278</v>
      </c>
      <c r="D156" s="36" t="s">
        <v>243</v>
      </c>
    </row>
    <row r="157" spans="2:4" ht="15.75" x14ac:dyDescent="0.25">
      <c r="B157" s="34" t="s">
        <v>279</v>
      </c>
      <c r="C157" s="35" t="s">
        <v>280</v>
      </c>
      <c r="D157" s="36" t="s">
        <v>243</v>
      </c>
    </row>
    <row r="158" spans="2:4" ht="16.5" thickBot="1" x14ac:dyDescent="0.3">
      <c r="B158" s="37" t="s">
        <v>281</v>
      </c>
      <c r="C158" s="38" t="s">
        <v>282</v>
      </c>
      <c r="D158" s="39" t="s">
        <v>243</v>
      </c>
    </row>
    <row r="159" spans="2:4" ht="15.75" thickBot="1" x14ac:dyDescent="0.3">
      <c r="B159" s="44"/>
      <c r="C159" s="45"/>
      <c r="D159" s="44"/>
    </row>
    <row r="160" spans="2:4" ht="15.75" thickBot="1" x14ac:dyDescent="0.3">
      <c r="B160" s="435" t="s">
        <v>153</v>
      </c>
      <c r="C160" s="435"/>
      <c r="D160" s="435"/>
    </row>
    <row r="161" spans="2:4" x14ac:dyDescent="0.25">
      <c r="B161" s="31">
        <v>1</v>
      </c>
      <c r="C161" s="32" t="s">
        <v>283</v>
      </c>
      <c r="D161" s="33" t="s">
        <v>243</v>
      </c>
    </row>
    <row r="162" spans="2:4" x14ac:dyDescent="0.25">
      <c r="B162" s="34">
        <v>2</v>
      </c>
      <c r="C162" s="35" t="s">
        <v>284</v>
      </c>
      <c r="D162" s="36" t="s">
        <v>243</v>
      </c>
    </row>
    <row r="163" spans="2:4" x14ac:dyDescent="0.25">
      <c r="B163" s="34">
        <v>3</v>
      </c>
      <c r="C163" s="35" t="s">
        <v>285</v>
      </c>
      <c r="D163" s="36" t="s">
        <v>243</v>
      </c>
    </row>
    <row r="164" spans="2:4" x14ac:dyDescent="0.25">
      <c r="B164" s="34">
        <v>4</v>
      </c>
      <c r="C164" s="35" t="s">
        <v>286</v>
      </c>
      <c r="D164" s="36" t="s">
        <v>243</v>
      </c>
    </row>
    <row r="165" spans="2:4" x14ac:dyDescent="0.25">
      <c r="B165" s="34">
        <v>5</v>
      </c>
      <c r="C165" s="35" t="s">
        <v>287</v>
      </c>
      <c r="D165" s="36" t="s">
        <v>243</v>
      </c>
    </row>
    <row r="166" spans="2:4" x14ac:dyDescent="0.25">
      <c r="B166" s="34">
        <v>6</v>
      </c>
      <c r="C166" s="35" t="s">
        <v>288</v>
      </c>
      <c r="D166" s="36" t="s">
        <v>243</v>
      </c>
    </row>
    <row r="167" spans="2:4" x14ac:dyDescent="0.25">
      <c r="B167" s="34">
        <v>7</v>
      </c>
      <c r="C167" s="35" t="s">
        <v>289</v>
      </c>
      <c r="D167" s="36" t="s">
        <v>243</v>
      </c>
    </row>
    <row r="168" spans="2:4" x14ac:dyDescent="0.25">
      <c r="B168" s="34">
        <v>8</v>
      </c>
      <c r="C168" s="35" t="s">
        <v>290</v>
      </c>
      <c r="D168" s="36" t="s">
        <v>243</v>
      </c>
    </row>
    <row r="169" spans="2:4" ht="15.75" thickBot="1" x14ac:dyDescent="0.3">
      <c r="B169" s="37">
        <v>9</v>
      </c>
      <c r="C169" s="38" t="s">
        <v>291</v>
      </c>
      <c r="D169" s="39" t="s">
        <v>243</v>
      </c>
    </row>
    <row r="170" spans="2:4" ht="15.75" x14ac:dyDescent="0.25">
      <c r="B170" s="439"/>
      <c r="C170" s="439"/>
      <c r="D170" s="439"/>
    </row>
    <row r="171" spans="2:4" ht="16.5" thickBot="1" x14ac:dyDescent="0.3">
      <c r="B171" s="440" t="s">
        <v>157</v>
      </c>
      <c r="C171" s="440"/>
      <c r="D171" s="440"/>
    </row>
    <row r="172" spans="2:4" ht="16.5" thickBot="1" x14ac:dyDescent="0.3">
      <c r="B172" s="40" t="s">
        <v>158</v>
      </c>
      <c r="C172" s="41" t="s">
        <v>159</v>
      </c>
      <c r="D172" s="42" t="s">
        <v>160</v>
      </c>
    </row>
    <row r="173" spans="2:4" x14ac:dyDescent="0.25">
      <c r="B173" s="31">
        <v>1</v>
      </c>
      <c r="C173" s="32" t="s">
        <v>292</v>
      </c>
      <c r="D173" s="33" t="s">
        <v>100</v>
      </c>
    </row>
    <row r="174" spans="2:4" x14ac:dyDescent="0.25">
      <c r="B174" s="34">
        <v>2</v>
      </c>
      <c r="C174" s="35" t="s">
        <v>293</v>
      </c>
      <c r="D174" s="36" t="s">
        <v>100</v>
      </c>
    </row>
    <row r="175" spans="2:4" x14ac:dyDescent="0.25">
      <c r="B175" s="34">
        <v>3</v>
      </c>
      <c r="C175" s="35" t="s">
        <v>294</v>
      </c>
      <c r="D175" s="36" t="s">
        <v>166</v>
      </c>
    </row>
    <row r="176" spans="2:4" ht="15.75" thickBot="1" x14ac:dyDescent="0.3">
      <c r="B176" s="37">
        <v>4</v>
      </c>
      <c r="C176" s="38" t="s">
        <v>295</v>
      </c>
      <c r="D176" s="39" t="s">
        <v>166</v>
      </c>
    </row>
    <row r="177" spans="2:4" x14ac:dyDescent="0.25">
      <c r="B177" s="441"/>
      <c r="C177" s="441"/>
      <c r="D177" s="441"/>
    </row>
    <row r="178" spans="2:4" ht="18" x14ac:dyDescent="0.25">
      <c r="B178" s="437" t="s">
        <v>296</v>
      </c>
      <c r="C178" s="437"/>
      <c r="D178" s="437"/>
    </row>
    <row r="179" spans="2:4" ht="15.75" thickBot="1" x14ac:dyDescent="0.3">
      <c r="B179" s="442" t="s">
        <v>102</v>
      </c>
      <c r="C179" s="442"/>
      <c r="D179" s="442"/>
    </row>
    <row r="180" spans="2:4" x14ac:dyDescent="0.25">
      <c r="B180" s="46" t="s">
        <v>297</v>
      </c>
      <c r="C180" s="47" t="s">
        <v>298</v>
      </c>
      <c r="D180" s="48" t="s">
        <v>299</v>
      </c>
    </row>
    <row r="181" spans="2:4" x14ac:dyDescent="0.25">
      <c r="B181" s="49" t="s">
        <v>300</v>
      </c>
      <c r="C181" s="50" t="s">
        <v>301</v>
      </c>
      <c r="D181" s="51" t="s">
        <v>299</v>
      </c>
    </row>
    <row r="182" spans="2:4" x14ac:dyDescent="0.25">
      <c r="B182" s="49" t="s">
        <v>302</v>
      </c>
      <c r="C182" s="50" t="s">
        <v>303</v>
      </c>
      <c r="D182" s="51" t="s">
        <v>299</v>
      </c>
    </row>
    <row r="183" spans="2:4" x14ac:dyDescent="0.25">
      <c r="B183" s="49" t="s">
        <v>304</v>
      </c>
      <c r="C183" s="50" t="s">
        <v>305</v>
      </c>
      <c r="D183" s="51" t="s">
        <v>299</v>
      </c>
    </row>
    <row r="184" spans="2:4" x14ac:dyDescent="0.25">
      <c r="B184" s="49" t="s">
        <v>306</v>
      </c>
      <c r="C184" s="50" t="s">
        <v>307</v>
      </c>
      <c r="D184" s="51" t="s">
        <v>299</v>
      </c>
    </row>
    <row r="185" spans="2:4" x14ac:dyDescent="0.25">
      <c r="B185" s="49" t="s">
        <v>308</v>
      </c>
      <c r="C185" s="50" t="s">
        <v>309</v>
      </c>
      <c r="D185" s="51" t="s">
        <v>299</v>
      </c>
    </row>
    <row r="186" spans="2:4" x14ac:dyDescent="0.25">
      <c r="B186" s="49" t="s">
        <v>310</v>
      </c>
      <c r="C186" s="50" t="s">
        <v>311</v>
      </c>
      <c r="D186" s="51" t="s">
        <v>299</v>
      </c>
    </row>
    <row r="187" spans="2:4" x14ac:dyDescent="0.25">
      <c r="B187" s="49" t="s">
        <v>312</v>
      </c>
      <c r="C187" s="50" t="s">
        <v>313</v>
      </c>
      <c r="D187" s="51" t="s">
        <v>299</v>
      </c>
    </row>
    <row r="188" spans="2:4" x14ac:dyDescent="0.25">
      <c r="B188" s="49" t="s">
        <v>314</v>
      </c>
      <c r="C188" s="50" t="s">
        <v>315</v>
      </c>
      <c r="D188" s="51" t="s">
        <v>299</v>
      </c>
    </row>
    <row r="189" spans="2:4" x14ac:dyDescent="0.25">
      <c r="B189" s="49" t="s">
        <v>316</v>
      </c>
      <c r="C189" s="50" t="s">
        <v>317</v>
      </c>
      <c r="D189" s="51" t="s">
        <v>299</v>
      </c>
    </row>
    <row r="190" spans="2:4" x14ac:dyDescent="0.25">
      <c r="B190" s="49" t="s">
        <v>318</v>
      </c>
      <c r="C190" s="50" t="s">
        <v>319</v>
      </c>
      <c r="D190" s="51" t="s">
        <v>299</v>
      </c>
    </row>
    <row r="191" spans="2:4" x14ac:dyDescent="0.25">
      <c r="B191" s="49" t="s">
        <v>320</v>
      </c>
      <c r="C191" s="50" t="s">
        <v>321</v>
      </c>
      <c r="D191" s="51" t="s">
        <v>299</v>
      </c>
    </row>
    <row r="192" spans="2:4" x14ac:dyDescent="0.25">
      <c r="B192" s="49" t="s">
        <v>322</v>
      </c>
      <c r="C192" s="50" t="s">
        <v>323</v>
      </c>
      <c r="D192" s="51" t="s">
        <v>299</v>
      </c>
    </row>
    <row r="193" spans="2:4" x14ac:dyDescent="0.25">
      <c r="B193" s="49" t="s">
        <v>324</v>
      </c>
      <c r="C193" s="50" t="s">
        <v>325</v>
      </c>
      <c r="D193" s="51" t="s">
        <v>299</v>
      </c>
    </row>
    <row r="194" spans="2:4" x14ac:dyDescent="0.25">
      <c r="B194" s="49" t="s">
        <v>326</v>
      </c>
      <c r="C194" s="50" t="s">
        <v>327</v>
      </c>
      <c r="D194" s="51" t="s">
        <v>299</v>
      </c>
    </row>
    <row r="195" spans="2:4" x14ac:dyDescent="0.25">
      <c r="B195" s="49" t="s">
        <v>328</v>
      </c>
      <c r="C195" s="50" t="s">
        <v>329</v>
      </c>
      <c r="D195" s="51" t="s">
        <v>299</v>
      </c>
    </row>
    <row r="196" spans="2:4" x14ac:dyDescent="0.25">
      <c r="B196" s="49" t="s">
        <v>330</v>
      </c>
      <c r="C196" s="50" t="s">
        <v>331</v>
      </c>
      <c r="D196" s="51" t="s">
        <v>299</v>
      </c>
    </row>
    <row r="197" spans="2:4" x14ac:dyDescent="0.25">
      <c r="B197" s="49" t="s">
        <v>332</v>
      </c>
      <c r="C197" s="50" t="s">
        <v>333</v>
      </c>
      <c r="D197" s="51" t="s">
        <v>299</v>
      </c>
    </row>
    <row r="198" spans="2:4" x14ac:dyDescent="0.25">
      <c r="B198" s="49" t="s">
        <v>334</v>
      </c>
      <c r="C198" s="50" t="s">
        <v>335</v>
      </c>
      <c r="D198" s="51" t="s">
        <v>299</v>
      </c>
    </row>
    <row r="199" spans="2:4" x14ac:dyDescent="0.25">
      <c r="B199" s="49" t="s">
        <v>336</v>
      </c>
      <c r="C199" s="50" t="s">
        <v>337</v>
      </c>
      <c r="D199" s="51" t="s">
        <v>299</v>
      </c>
    </row>
    <row r="200" spans="2:4" x14ac:dyDescent="0.25">
      <c r="B200" s="49" t="s">
        <v>338</v>
      </c>
      <c r="C200" s="50" t="s">
        <v>339</v>
      </c>
      <c r="D200" s="51" t="s">
        <v>299</v>
      </c>
    </row>
    <row r="201" spans="2:4" x14ac:dyDescent="0.25">
      <c r="B201" s="49" t="s">
        <v>340</v>
      </c>
      <c r="C201" s="50" t="s">
        <v>341</v>
      </c>
      <c r="D201" s="51" t="s">
        <v>299</v>
      </c>
    </row>
    <row r="202" spans="2:4" x14ac:dyDescent="0.25">
      <c r="B202" s="49" t="s">
        <v>342</v>
      </c>
      <c r="C202" s="50" t="s">
        <v>343</v>
      </c>
      <c r="D202" s="51" t="s">
        <v>299</v>
      </c>
    </row>
    <row r="203" spans="2:4" x14ac:dyDescent="0.25">
      <c r="B203" s="49" t="s">
        <v>344</v>
      </c>
      <c r="C203" s="50" t="s">
        <v>345</v>
      </c>
      <c r="D203" s="51" t="s">
        <v>299</v>
      </c>
    </row>
    <row r="204" spans="2:4" x14ac:dyDescent="0.25">
      <c r="B204" s="49" t="s">
        <v>346</v>
      </c>
      <c r="C204" s="50" t="s">
        <v>347</v>
      </c>
      <c r="D204" s="51" t="s">
        <v>299</v>
      </c>
    </row>
    <row r="205" spans="2:4" x14ac:dyDescent="0.25">
      <c r="B205" s="49" t="s">
        <v>348</v>
      </c>
      <c r="C205" s="50" t="s">
        <v>349</v>
      </c>
      <c r="D205" s="51" t="s">
        <v>299</v>
      </c>
    </row>
    <row r="206" spans="2:4" x14ac:dyDescent="0.25">
      <c r="B206" s="49" t="s">
        <v>350</v>
      </c>
      <c r="C206" s="50" t="s">
        <v>351</v>
      </c>
      <c r="D206" s="51" t="s">
        <v>299</v>
      </c>
    </row>
    <row r="207" spans="2:4" x14ac:dyDescent="0.25">
      <c r="B207" s="49" t="s">
        <v>352</v>
      </c>
      <c r="C207" s="50" t="s">
        <v>353</v>
      </c>
      <c r="D207" s="51" t="s">
        <v>299</v>
      </c>
    </row>
    <row r="208" spans="2:4" x14ac:dyDescent="0.25">
      <c r="B208" s="49" t="s">
        <v>354</v>
      </c>
      <c r="C208" s="50" t="s">
        <v>355</v>
      </c>
      <c r="D208" s="51" t="s">
        <v>299</v>
      </c>
    </row>
    <row r="209" spans="2:4" x14ac:dyDescent="0.25">
      <c r="B209" s="49" t="s">
        <v>356</v>
      </c>
      <c r="C209" s="50" t="s">
        <v>357</v>
      </c>
      <c r="D209" s="51" t="s">
        <v>299</v>
      </c>
    </row>
    <row r="210" spans="2:4" x14ac:dyDescent="0.25">
      <c r="B210" s="49" t="s">
        <v>358</v>
      </c>
      <c r="C210" s="50" t="s">
        <v>359</v>
      </c>
      <c r="D210" s="51" t="s">
        <v>299</v>
      </c>
    </row>
    <row r="211" spans="2:4" x14ac:dyDescent="0.25">
      <c r="B211" s="49" t="s">
        <v>360</v>
      </c>
      <c r="C211" s="50" t="s">
        <v>361</v>
      </c>
      <c r="D211" s="51" t="s">
        <v>299</v>
      </c>
    </row>
    <row r="212" spans="2:4" x14ac:dyDescent="0.25">
      <c r="B212" s="49" t="s">
        <v>362</v>
      </c>
      <c r="C212" s="50" t="s">
        <v>363</v>
      </c>
      <c r="D212" s="51" t="s">
        <v>299</v>
      </c>
    </row>
    <row r="213" spans="2:4" x14ac:dyDescent="0.25">
      <c r="B213" s="49" t="s">
        <v>364</v>
      </c>
      <c r="C213" s="50" t="s">
        <v>365</v>
      </c>
      <c r="D213" s="51" t="s">
        <v>299</v>
      </c>
    </row>
    <row r="214" spans="2:4" x14ac:dyDescent="0.25">
      <c r="B214" s="49" t="s">
        <v>366</v>
      </c>
      <c r="C214" s="50" t="s">
        <v>367</v>
      </c>
      <c r="D214" s="51" t="s">
        <v>299</v>
      </c>
    </row>
    <row r="215" spans="2:4" x14ac:dyDescent="0.25">
      <c r="B215" s="49" t="s">
        <v>368</v>
      </c>
      <c r="C215" s="50" t="s">
        <v>369</v>
      </c>
      <c r="D215" s="51" t="s">
        <v>299</v>
      </c>
    </row>
    <row r="216" spans="2:4" x14ac:dyDescent="0.25">
      <c r="B216" s="49" t="s">
        <v>370</v>
      </c>
      <c r="C216" s="50" t="s">
        <v>371</v>
      </c>
      <c r="D216" s="51" t="s">
        <v>299</v>
      </c>
    </row>
    <row r="217" spans="2:4" x14ac:dyDescent="0.25">
      <c r="B217" s="49" t="s">
        <v>372</v>
      </c>
      <c r="C217" s="50" t="s">
        <v>373</v>
      </c>
      <c r="D217" s="51" t="s">
        <v>299</v>
      </c>
    </row>
    <row r="218" spans="2:4" x14ac:dyDescent="0.25">
      <c r="B218" s="49" t="s">
        <v>374</v>
      </c>
      <c r="C218" s="50" t="s">
        <v>375</v>
      </c>
      <c r="D218" s="51" t="s">
        <v>299</v>
      </c>
    </row>
    <row r="219" spans="2:4" ht="15.75" thickBot="1" x14ac:dyDescent="0.3">
      <c r="B219" s="52">
        <v>40</v>
      </c>
      <c r="C219" s="53" t="s">
        <v>376</v>
      </c>
      <c r="D219" s="54" t="s">
        <v>299</v>
      </c>
    </row>
    <row r="220" spans="2:4" x14ac:dyDescent="0.25">
      <c r="B220" s="438"/>
      <c r="C220" s="438"/>
      <c r="D220" s="438"/>
    </row>
    <row r="221" spans="2:4" ht="15.75" thickBot="1" x14ac:dyDescent="0.3">
      <c r="B221" s="435" t="s">
        <v>153</v>
      </c>
      <c r="C221" s="435"/>
      <c r="D221" s="435"/>
    </row>
    <row r="222" spans="2:4" x14ac:dyDescent="0.25">
      <c r="B222" s="31">
        <v>1</v>
      </c>
      <c r="C222" s="55" t="s">
        <v>377</v>
      </c>
      <c r="D222" s="33" t="s">
        <v>299</v>
      </c>
    </row>
    <row r="223" spans="2:4" x14ac:dyDescent="0.25">
      <c r="B223" s="34">
        <v>2</v>
      </c>
      <c r="C223" s="56" t="s">
        <v>378</v>
      </c>
      <c r="D223" s="36" t="s">
        <v>299</v>
      </c>
    </row>
    <row r="224" spans="2:4" x14ac:dyDescent="0.25">
      <c r="B224" s="34">
        <v>3</v>
      </c>
      <c r="C224" s="56" t="s">
        <v>379</v>
      </c>
      <c r="D224" s="36" t="s">
        <v>299</v>
      </c>
    </row>
    <row r="225" spans="2:4" x14ac:dyDescent="0.25">
      <c r="B225" s="34">
        <v>4</v>
      </c>
      <c r="C225" s="56" t="s">
        <v>380</v>
      </c>
      <c r="D225" s="36" t="s">
        <v>299</v>
      </c>
    </row>
    <row r="226" spans="2:4" ht="15.75" thickBot="1" x14ac:dyDescent="0.3">
      <c r="B226" s="37">
        <v>5</v>
      </c>
      <c r="C226" s="57" t="s">
        <v>381</v>
      </c>
      <c r="D226" s="39" t="s">
        <v>299</v>
      </c>
    </row>
    <row r="227" spans="2:4" ht="15.75" x14ac:dyDescent="0.25">
      <c r="B227" s="439"/>
      <c r="C227" s="439"/>
      <c r="D227" s="439"/>
    </row>
    <row r="228" spans="2:4" ht="16.5" thickBot="1" x14ac:dyDescent="0.3">
      <c r="B228" s="440" t="s">
        <v>157</v>
      </c>
      <c r="C228" s="440"/>
      <c r="D228" s="440"/>
    </row>
    <row r="229" spans="2:4" ht="16.5" thickBot="1" x14ac:dyDescent="0.3">
      <c r="B229" s="40" t="s">
        <v>158</v>
      </c>
      <c r="C229" s="41" t="s">
        <v>159</v>
      </c>
      <c r="D229" s="42" t="s">
        <v>160</v>
      </c>
    </row>
    <row r="230" spans="2:4" x14ac:dyDescent="0.25">
      <c r="B230" s="31">
        <v>1</v>
      </c>
      <c r="C230" s="32" t="s">
        <v>382</v>
      </c>
      <c r="D230" s="33" t="s">
        <v>100</v>
      </c>
    </row>
    <row r="231" spans="2:4" x14ac:dyDescent="0.25">
      <c r="B231" s="34">
        <v>2</v>
      </c>
      <c r="C231" s="35" t="s">
        <v>383</v>
      </c>
      <c r="D231" s="36" t="s">
        <v>166</v>
      </c>
    </row>
    <row r="232" spans="2:4" x14ac:dyDescent="0.25">
      <c r="B232" s="34">
        <v>3</v>
      </c>
      <c r="C232" s="35" t="s">
        <v>384</v>
      </c>
      <c r="D232" s="36" t="s">
        <v>166</v>
      </c>
    </row>
    <row r="233" spans="2:4" ht="15.75" thickBot="1" x14ac:dyDescent="0.3">
      <c r="B233" s="37">
        <v>4</v>
      </c>
      <c r="C233" s="38" t="s">
        <v>385</v>
      </c>
      <c r="D233" s="39" t="s">
        <v>166</v>
      </c>
    </row>
    <row r="234" spans="2:4" x14ac:dyDescent="0.25">
      <c r="B234" s="441"/>
      <c r="C234" s="441"/>
      <c r="D234" s="441"/>
    </row>
    <row r="235" spans="2:4" x14ac:dyDescent="0.25">
      <c r="B235" s="441"/>
      <c r="C235" s="441"/>
      <c r="D235" s="441"/>
    </row>
    <row r="236" spans="2:4" x14ac:dyDescent="0.25">
      <c r="B236" s="441"/>
      <c r="C236" s="441"/>
      <c r="D236" s="441"/>
    </row>
    <row r="237" spans="2:4" x14ac:dyDescent="0.25">
      <c r="B237" s="441"/>
      <c r="C237" s="441"/>
      <c r="D237" s="441"/>
    </row>
    <row r="238" spans="2:4" x14ac:dyDescent="0.25">
      <c r="B238" s="441"/>
      <c r="C238" s="441"/>
      <c r="D238" s="441"/>
    </row>
    <row r="239" spans="2:4" x14ac:dyDescent="0.25">
      <c r="B239" s="441"/>
      <c r="C239" s="441"/>
      <c r="D239" s="441"/>
    </row>
    <row r="240" spans="2:4" x14ac:dyDescent="0.25">
      <c r="B240" s="441"/>
      <c r="C240" s="441"/>
      <c r="D240" s="441"/>
    </row>
    <row r="241" spans="2:4" x14ac:dyDescent="0.25">
      <c r="B241" s="441"/>
      <c r="C241" s="441"/>
      <c r="D241" s="441"/>
    </row>
    <row r="242" spans="2:4" x14ac:dyDescent="0.25">
      <c r="B242" s="441"/>
      <c r="C242" s="441"/>
      <c r="D242" s="441"/>
    </row>
    <row r="243" spans="2:4" x14ac:dyDescent="0.25">
      <c r="B243" s="441"/>
      <c r="C243" s="441"/>
      <c r="D243" s="441"/>
    </row>
    <row r="244" spans="2:4" x14ac:dyDescent="0.25">
      <c r="B244" s="441"/>
      <c r="C244" s="441"/>
      <c r="D244" s="441"/>
    </row>
    <row r="245" spans="2:4" x14ac:dyDescent="0.25">
      <c r="B245" s="441"/>
      <c r="C245" s="441"/>
      <c r="D245" s="441"/>
    </row>
    <row r="246" spans="2:4" x14ac:dyDescent="0.25">
      <c r="B246" s="441"/>
      <c r="C246" s="441"/>
      <c r="D246" s="441"/>
    </row>
    <row r="247" spans="2:4" x14ac:dyDescent="0.25">
      <c r="B247" s="441"/>
      <c r="C247" s="441"/>
      <c r="D247" s="441"/>
    </row>
    <row r="248" spans="2:4" x14ac:dyDescent="0.25">
      <c r="B248" s="441"/>
      <c r="C248" s="441"/>
      <c r="D248" s="441"/>
    </row>
    <row r="249" spans="2:4" x14ac:dyDescent="0.25">
      <c r="B249" s="441"/>
      <c r="C249" s="441"/>
      <c r="D249" s="441"/>
    </row>
    <row r="250" spans="2:4" x14ac:dyDescent="0.25">
      <c r="B250" s="441"/>
      <c r="C250" s="441"/>
      <c r="D250" s="441"/>
    </row>
    <row r="251" spans="2:4" x14ac:dyDescent="0.25">
      <c r="B251" s="441"/>
      <c r="C251" s="441"/>
      <c r="D251" s="441"/>
    </row>
    <row r="252" spans="2:4" x14ac:dyDescent="0.25">
      <c r="B252" s="441"/>
      <c r="C252" s="441"/>
      <c r="D252" s="441"/>
    </row>
    <row r="253" spans="2:4" x14ac:dyDescent="0.25">
      <c r="B253" s="441"/>
      <c r="C253" s="441"/>
      <c r="D253" s="441"/>
    </row>
    <row r="254" spans="2:4" ht="15.75" x14ac:dyDescent="0.25">
      <c r="B254" s="58"/>
    </row>
    <row r="255" spans="2:4" x14ac:dyDescent="0.25">
      <c r="B255" s="61"/>
    </row>
  </sheetData>
  <mergeCells count="47">
    <mergeCell ref="B249:D249"/>
    <mergeCell ref="B250:D250"/>
    <mergeCell ref="B251:D251"/>
    <mergeCell ref="B252:D252"/>
    <mergeCell ref="B253:D253"/>
    <mergeCell ref="B248:D248"/>
    <mergeCell ref="B237:D237"/>
    <mergeCell ref="B238:D238"/>
    <mergeCell ref="B239:D239"/>
    <mergeCell ref="B240:D240"/>
    <mergeCell ref="B241:D241"/>
    <mergeCell ref="B242:D242"/>
    <mergeCell ref="B243:D243"/>
    <mergeCell ref="B244:D244"/>
    <mergeCell ref="B245:D245"/>
    <mergeCell ref="B246:D246"/>
    <mergeCell ref="B247:D247"/>
    <mergeCell ref="B236:D236"/>
    <mergeCell ref="B170:D170"/>
    <mergeCell ref="B171:D171"/>
    <mergeCell ref="B177:D177"/>
    <mergeCell ref="B178:D178"/>
    <mergeCell ref="B179:D179"/>
    <mergeCell ref="B220:D220"/>
    <mergeCell ref="B221:D221"/>
    <mergeCell ref="B227:D227"/>
    <mergeCell ref="B228:D228"/>
    <mergeCell ref="B234:D234"/>
    <mergeCell ref="B235:D235"/>
    <mergeCell ref="B160:D160"/>
    <mergeCell ref="B62:D62"/>
    <mergeCell ref="B63:D63"/>
    <mergeCell ref="B73:D73"/>
    <mergeCell ref="B74:D74"/>
    <mergeCell ref="B75:D75"/>
    <mergeCell ref="B105:D105"/>
    <mergeCell ref="B106:D106"/>
    <mergeCell ref="B114:D114"/>
    <mergeCell ref="B121:D121"/>
    <mergeCell ref="B122:D122"/>
    <mergeCell ref="B123:D123"/>
    <mergeCell ref="B58:D58"/>
    <mergeCell ref="B2:D2"/>
    <mergeCell ref="B6:D6"/>
    <mergeCell ref="B7:D7"/>
    <mergeCell ref="B56:D56"/>
    <mergeCell ref="B57:D57"/>
  </mergeCells>
  <pageMargins left="1" right="1" top="1" bottom="1" header="0.5" footer="0.5"/>
  <pageSetup paperSize="5" scale="92" fitToHeight="0" orientation="portrait" r:id="rId1"/>
  <rowBreaks count="4" manualBreakCount="4">
    <brk id="56" max="3" man="1"/>
    <brk id="112" max="3" man="1"/>
    <brk id="152" max="3" man="1"/>
    <brk id="200"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9"/>
  <sheetViews>
    <sheetView workbookViewId="0">
      <selection activeCell="C12" sqref="C12"/>
    </sheetView>
  </sheetViews>
  <sheetFormatPr defaultRowHeight="15" x14ac:dyDescent="0.25"/>
  <cols>
    <col min="1" max="1" width="30.28515625" customWidth="1"/>
    <col min="2" max="2" width="42.7109375" customWidth="1"/>
    <col min="3" max="3" width="23" customWidth="1"/>
    <col min="4" max="4" width="12.85546875" customWidth="1"/>
    <col min="5" max="5" width="15.7109375" customWidth="1"/>
    <col min="6" max="6" width="60.5703125" customWidth="1"/>
  </cols>
  <sheetData>
    <row r="1" spans="1:6" ht="15.75" x14ac:dyDescent="0.25">
      <c r="A1" s="443" t="s">
        <v>953</v>
      </c>
      <c r="B1" s="444"/>
      <c r="C1" s="444"/>
      <c r="D1" s="444"/>
      <c r="E1" s="444"/>
      <c r="F1" s="444"/>
    </row>
    <row r="2" spans="1:6" ht="45" x14ac:dyDescent="0.25">
      <c r="A2" s="356" t="s">
        <v>954</v>
      </c>
      <c r="B2" s="357" t="s">
        <v>955</v>
      </c>
      <c r="C2" s="357" t="s">
        <v>956</v>
      </c>
      <c r="D2" s="357" t="s">
        <v>957</v>
      </c>
      <c r="E2" s="357" t="s">
        <v>958</v>
      </c>
      <c r="F2" s="357" t="s">
        <v>90</v>
      </c>
    </row>
    <row r="3" spans="1:6" ht="75" x14ac:dyDescent="0.25">
      <c r="A3" s="358" t="s">
        <v>959</v>
      </c>
      <c r="B3" s="359" t="s">
        <v>960</v>
      </c>
      <c r="C3" s="350">
        <v>72</v>
      </c>
      <c r="D3" s="360">
        <f>C3/285</f>
        <v>0.25263157894736843</v>
      </c>
      <c r="E3" s="361">
        <f>D3*60</f>
        <v>15.157894736842106</v>
      </c>
      <c r="F3" s="362" t="s">
        <v>961</v>
      </c>
    </row>
    <row r="4" spans="1:6" x14ac:dyDescent="0.25">
      <c r="A4" s="445" t="s">
        <v>962</v>
      </c>
      <c r="B4" s="363" t="s">
        <v>963</v>
      </c>
      <c r="C4" s="350">
        <f>1.5</f>
        <v>1.5</v>
      </c>
      <c r="D4" s="360">
        <f>C4/285</f>
        <v>5.263157894736842E-3</v>
      </c>
      <c r="E4" s="361">
        <f>D4*90</f>
        <v>0.47368421052631576</v>
      </c>
      <c r="F4" s="446" t="s">
        <v>964</v>
      </c>
    </row>
    <row r="5" spans="1:6" x14ac:dyDescent="0.25">
      <c r="A5" s="445"/>
      <c r="B5" s="363" t="s">
        <v>965</v>
      </c>
      <c r="C5" s="350">
        <v>6</v>
      </c>
      <c r="D5" s="360">
        <f t="shared" ref="D5:D6" si="0">C5/285</f>
        <v>2.1052631578947368E-2</v>
      </c>
      <c r="E5" s="361">
        <f>D5*23</f>
        <v>0.48421052631578948</v>
      </c>
      <c r="F5" s="446"/>
    </row>
    <row r="6" spans="1:6" x14ac:dyDescent="0.25">
      <c r="A6" s="445"/>
      <c r="B6" s="362" t="s">
        <v>966</v>
      </c>
      <c r="C6" s="350">
        <f>5</f>
        <v>5</v>
      </c>
      <c r="D6" s="360">
        <f t="shared" si="0"/>
        <v>1.7543859649122806E-2</v>
      </c>
      <c r="E6" s="361">
        <f t="shared" ref="E6" si="1">D6*60</f>
        <v>1.0526315789473684</v>
      </c>
      <c r="F6" s="446"/>
    </row>
    <row r="7" spans="1:6" ht="60" x14ac:dyDescent="0.25">
      <c r="A7" s="358" t="s">
        <v>967</v>
      </c>
      <c r="B7" s="350" t="s">
        <v>968</v>
      </c>
      <c r="C7" s="350">
        <v>15</v>
      </c>
      <c r="D7" s="360">
        <f>C7/285</f>
        <v>5.2631578947368418E-2</v>
      </c>
      <c r="E7" s="361">
        <f>D7*60</f>
        <v>3.1578947368421053</v>
      </c>
      <c r="F7" s="364" t="s">
        <v>969</v>
      </c>
    </row>
    <row r="8" spans="1:6" ht="60" x14ac:dyDescent="0.25">
      <c r="A8" s="358" t="s">
        <v>970</v>
      </c>
      <c r="B8" s="350" t="s">
        <v>971</v>
      </c>
      <c r="C8" s="350">
        <v>10</v>
      </c>
      <c r="D8" s="360">
        <f>C8/285</f>
        <v>3.5087719298245612E-2</v>
      </c>
      <c r="E8" s="361">
        <f>D8*60</f>
        <v>2.1052631578947367</v>
      </c>
      <c r="F8" s="364" t="s">
        <v>969</v>
      </c>
    </row>
    <row r="9" spans="1:6" x14ac:dyDescent="0.25">
      <c r="A9" s="364"/>
      <c r="B9" s="447" t="s">
        <v>972</v>
      </c>
      <c r="C9" s="447"/>
      <c r="D9" s="447"/>
      <c r="E9" s="361">
        <f>SUM(E3:E8)</f>
        <v>22.431578947368422</v>
      </c>
      <c r="F9" s="347" t="s">
        <v>973</v>
      </c>
    </row>
  </sheetData>
  <mergeCells count="4">
    <mergeCell ref="A1:F1"/>
    <mergeCell ref="A4:A6"/>
    <mergeCell ref="F4:F6"/>
    <mergeCell ref="B9:D9"/>
  </mergeCells>
  <pageMargins left="1.299212598425197" right="0.70866141732283472" top="0.74803149606299213" bottom="0.74803149606299213" header="0.31496062992125984" footer="0.31496062992125984"/>
  <pageSetup paperSize="5" scale="82"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G22"/>
  <sheetViews>
    <sheetView topLeftCell="A10" workbookViewId="0">
      <selection activeCell="B16" sqref="B16"/>
    </sheetView>
  </sheetViews>
  <sheetFormatPr defaultRowHeight="15" x14ac:dyDescent="0.25"/>
  <cols>
    <col min="1" max="1" width="5.42578125" customWidth="1"/>
    <col min="2" max="2" width="3.7109375" style="60" bestFit="1" customWidth="1"/>
    <col min="3" max="3" width="36.28515625" bestFit="1" customWidth="1"/>
    <col min="4" max="4" width="4" style="60" bestFit="1" customWidth="1"/>
    <col min="5" max="5" width="13.7109375" bestFit="1" customWidth="1"/>
    <col min="6" max="6" width="12.7109375" bestFit="1" customWidth="1"/>
    <col min="7" max="7" width="14" bestFit="1" customWidth="1"/>
    <col min="8" max="8" width="20.7109375" customWidth="1"/>
  </cols>
  <sheetData>
    <row r="1" spans="2:7" ht="9.75" customHeight="1" thickBot="1" x14ac:dyDescent="0.3"/>
    <row r="2" spans="2:7" ht="39.6" customHeight="1" thickBot="1" x14ac:dyDescent="0.3">
      <c r="B2" s="448" t="s">
        <v>663</v>
      </c>
      <c r="C2" s="449"/>
      <c r="D2" s="449"/>
      <c r="E2" s="449"/>
      <c r="F2" s="449"/>
      <c r="G2" s="450"/>
    </row>
    <row r="3" spans="2:7" ht="39" thickBot="1" x14ac:dyDescent="0.3">
      <c r="B3" s="139" t="s">
        <v>26</v>
      </c>
      <c r="C3" s="140" t="s">
        <v>27</v>
      </c>
      <c r="D3" s="140" t="s">
        <v>29</v>
      </c>
      <c r="E3" s="140" t="s">
        <v>30</v>
      </c>
      <c r="F3" s="140" t="s">
        <v>665</v>
      </c>
      <c r="G3" s="140" t="s">
        <v>664</v>
      </c>
    </row>
    <row r="4" spans="2:7" x14ac:dyDescent="0.25">
      <c r="B4" s="141">
        <v>1</v>
      </c>
      <c r="C4" s="157" t="s">
        <v>648</v>
      </c>
      <c r="D4" s="142">
        <v>1</v>
      </c>
      <c r="E4" s="143">
        <v>400000</v>
      </c>
      <c r="F4" s="143">
        <f t="shared" ref="F4:F9" si="0">E4*12</f>
        <v>4800000</v>
      </c>
      <c r="G4" s="144">
        <f t="shared" ref="G4:G15" si="1">F4/285</f>
        <v>16842.105263157893</v>
      </c>
    </row>
    <row r="5" spans="2:7" x14ac:dyDescent="0.25">
      <c r="B5" s="145">
        <v>2</v>
      </c>
      <c r="C5" s="158" t="s">
        <v>649</v>
      </c>
      <c r="D5" s="146">
        <v>1</v>
      </c>
      <c r="E5" s="147">
        <v>400000</v>
      </c>
      <c r="F5" s="147">
        <f t="shared" si="0"/>
        <v>4800000</v>
      </c>
      <c r="G5" s="148">
        <f t="shared" si="1"/>
        <v>16842.105263157893</v>
      </c>
    </row>
    <row r="6" spans="2:7" x14ac:dyDescent="0.25">
      <c r="B6" s="145">
        <v>3</v>
      </c>
      <c r="C6" s="158" t="s">
        <v>650</v>
      </c>
      <c r="D6" s="146">
        <v>1</v>
      </c>
      <c r="E6" s="147">
        <v>400000</v>
      </c>
      <c r="F6" s="147">
        <f t="shared" si="0"/>
        <v>4800000</v>
      </c>
      <c r="G6" s="148">
        <f t="shared" si="1"/>
        <v>16842.105263157893</v>
      </c>
    </row>
    <row r="7" spans="2:7" x14ac:dyDescent="0.25">
      <c r="B7" s="145">
        <v>4</v>
      </c>
      <c r="C7" s="158" t="s">
        <v>651</v>
      </c>
      <c r="D7" s="146">
        <v>1</v>
      </c>
      <c r="E7" s="147">
        <v>400000</v>
      </c>
      <c r="F7" s="147">
        <f t="shared" si="0"/>
        <v>4800000</v>
      </c>
      <c r="G7" s="148">
        <f t="shared" si="1"/>
        <v>16842.105263157893</v>
      </c>
    </row>
    <row r="8" spans="2:7" x14ac:dyDescent="0.25">
      <c r="B8" s="145">
        <v>5</v>
      </c>
      <c r="C8" s="158" t="s">
        <v>652</v>
      </c>
      <c r="D8" s="146">
        <v>1</v>
      </c>
      <c r="E8" s="147">
        <v>400000</v>
      </c>
      <c r="F8" s="147">
        <f t="shared" si="0"/>
        <v>4800000</v>
      </c>
      <c r="G8" s="148">
        <f t="shared" si="1"/>
        <v>16842.105263157893</v>
      </c>
    </row>
    <row r="9" spans="2:7" x14ac:dyDescent="0.25">
      <c r="B9" s="145">
        <v>6</v>
      </c>
      <c r="C9" s="158" t="s">
        <v>653</v>
      </c>
      <c r="D9" s="146">
        <v>1</v>
      </c>
      <c r="E9" s="147">
        <v>250000</v>
      </c>
      <c r="F9" s="147">
        <f t="shared" si="0"/>
        <v>3000000</v>
      </c>
      <c r="G9" s="148">
        <f t="shared" si="1"/>
        <v>10526.315789473685</v>
      </c>
    </row>
    <row r="10" spans="2:7" x14ac:dyDescent="0.25">
      <c r="B10" s="145">
        <v>7</v>
      </c>
      <c r="C10" s="158" t="s">
        <v>654</v>
      </c>
      <c r="D10" s="146">
        <v>2</v>
      </c>
      <c r="E10" s="147">
        <v>200000</v>
      </c>
      <c r="F10" s="147">
        <f>E10*12*2</f>
        <v>4800000</v>
      </c>
      <c r="G10" s="148">
        <f t="shared" si="1"/>
        <v>16842.105263157893</v>
      </c>
    </row>
    <row r="11" spans="2:7" x14ac:dyDescent="0.25">
      <c r="B11" s="145">
        <v>8</v>
      </c>
      <c r="C11" s="158" t="s">
        <v>655</v>
      </c>
      <c r="D11" s="146">
        <v>1</v>
      </c>
      <c r="E11" s="147">
        <v>300000</v>
      </c>
      <c r="F11" s="147">
        <v>4375822.5</v>
      </c>
      <c r="G11" s="148">
        <f t="shared" si="1"/>
        <v>15353.763157894737</v>
      </c>
    </row>
    <row r="12" spans="2:7" x14ac:dyDescent="0.25">
      <c r="B12" s="145">
        <v>10</v>
      </c>
      <c r="C12" s="158" t="s">
        <v>656</v>
      </c>
      <c r="D12" s="146">
        <v>2</v>
      </c>
      <c r="E12" s="147">
        <v>200000</v>
      </c>
      <c r="F12" s="147">
        <f>E12*12*2</f>
        <v>4800000</v>
      </c>
      <c r="G12" s="148">
        <f t="shared" si="1"/>
        <v>16842.105263157893</v>
      </c>
    </row>
    <row r="13" spans="2:7" ht="46.5" customHeight="1" x14ac:dyDescent="0.25">
      <c r="B13" s="66">
        <v>11</v>
      </c>
      <c r="C13" s="50" t="s">
        <v>657</v>
      </c>
      <c r="D13" s="149">
        <v>4</v>
      </c>
      <c r="E13" s="150">
        <v>100000</v>
      </c>
      <c r="F13" s="150">
        <f>E13*12*4</f>
        <v>4800000</v>
      </c>
      <c r="G13" s="148">
        <f t="shared" si="1"/>
        <v>16842.105263157893</v>
      </c>
    </row>
    <row r="14" spans="2:7" x14ac:dyDescent="0.25">
      <c r="B14" s="351">
        <v>12</v>
      </c>
      <c r="C14" s="352" t="s">
        <v>952</v>
      </c>
      <c r="D14" s="353">
        <v>1</v>
      </c>
      <c r="E14" s="354">
        <v>400000</v>
      </c>
      <c r="F14" s="150">
        <f>E14*12</f>
        <v>4800000</v>
      </c>
      <c r="G14" s="148">
        <f t="shared" ref="G14" si="2">F14/285</f>
        <v>16842.105263157893</v>
      </c>
    </row>
    <row r="15" spans="2:7" ht="44.25" thickBot="1" x14ac:dyDescent="0.3">
      <c r="B15" s="151">
        <v>13</v>
      </c>
      <c r="C15" s="401" t="s">
        <v>980</v>
      </c>
      <c r="D15" s="152">
        <v>5</v>
      </c>
      <c r="E15" s="152"/>
      <c r="F15" s="153">
        <f>20500476-2122842-4800000</f>
        <v>13577634</v>
      </c>
      <c r="G15" s="212">
        <f t="shared" si="1"/>
        <v>47640.821052631582</v>
      </c>
    </row>
    <row r="16" spans="2:7" ht="15.75" thickBot="1" x14ac:dyDescent="0.3">
      <c r="B16" s="154"/>
      <c r="C16" s="159" t="s">
        <v>5</v>
      </c>
      <c r="D16" s="155">
        <f>SUM(D4:D15)</f>
        <v>21</v>
      </c>
      <c r="E16" s="155"/>
      <c r="F16" s="156">
        <f>SUM(F4:F15)</f>
        <v>64153456.5</v>
      </c>
      <c r="G16" s="213">
        <f>SUM(G4:G15)</f>
        <v>225099.84736842103</v>
      </c>
    </row>
    <row r="17" spans="2:7" ht="15.75" thickBot="1" x14ac:dyDescent="0.3">
      <c r="B17" s="154"/>
      <c r="C17" s="159"/>
      <c r="D17" s="155"/>
      <c r="E17" s="155"/>
      <c r="F17" s="156"/>
      <c r="G17" s="211"/>
    </row>
    <row r="18" spans="2:7" ht="40.9" customHeight="1" thickBot="1" x14ac:dyDescent="0.3">
      <c r="B18" s="154"/>
      <c r="C18" s="451" t="s">
        <v>658</v>
      </c>
      <c r="D18" s="451"/>
      <c r="E18" s="451"/>
      <c r="F18" s="451"/>
      <c r="G18" s="452"/>
    </row>
    <row r="20" spans="2:7" x14ac:dyDescent="0.25">
      <c r="C20" t="s">
        <v>708</v>
      </c>
      <c r="E20" s="207">
        <v>76216967</v>
      </c>
    </row>
    <row r="21" spans="2:7" x14ac:dyDescent="0.25">
      <c r="C21" t="s">
        <v>710</v>
      </c>
      <c r="E21" s="209">
        <f>F16</f>
        <v>64153456.5</v>
      </c>
    </row>
    <row r="22" spans="2:7" x14ac:dyDescent="0.25">
      <c r="C22" s="204" t="s">
        <v>709</v>
      </c>
      <c r="D22" s="205"/>
      <c r="E22" s="210">
        <f>E20-E21</f>
        <v>12063510.5</v>
      </c>
      <c r="G22" s="209"/>
    </row>
  </sheetData>
  <mergeCells count="2">
    <mergeCell ref="B2:G2"/>
    <mergeCell ref="C18:G18"/>
  </mergeCells>
  <pageMargins left="1" right="1" top="1" bottom="1" header="0.5" footer="0.5"/>
  <pageSetup paperSize="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2:Q187"/>
  <sheetViews>
    <sheetView workbookViewId="0">
      <selection activeCell="L11" sqref="L11"/>
    </sheetView>
  </sheetViews>
  <sheetFormatPr defaultRowHeight="15" x14ac:dyDescent="0.25"/>
  <cols>
    <col min="1" max="1" width="5.5703125" customWidth="1"/>
    <col min="2" max="2" width="4.85546875" style="98" bestFit="1" customWidth="1"/>
    <col min="3" max="3" width="22.5703125" style="98" bestFit="1" customWidth="1"/>
    <col min="4" max="4" width="19.28515625" style="119" bestFit="1" customWidth="1"/>
    <col min="5" max="5" width="25.5703125" style="98" bestFit="1" customWidth="1"/>
    <col min="6" max="6" width="22.7109375" style="98" bestFit="1" customWidth="1"/>
    <col min="7" max="7" width="19" style="98" bestFit="1" customWidth="1"/>
    <col min="8" max="17" width="8.7109375" customWidth="1"/>
  </cols>
  <sheetData>
    <row r="2" spans="2:17" ht="18" x14ac:dyDescent="0.25">
      <c r="B2" s="458" t="s">
        <v>646</v>
      </c>
      <c r="C2" s="458"/>
      <c r="D2" s="458"/>
      <c r="E2" s="458"/>
      <c r="F2" s="458"/>
      <c r="G2" s="458"/>
      <c r="H2" s="101"/>
      <c r="I2" s="101"/>
      <c r="J2" s="101"/>
      <c r="K2" s="101"/>
      <c r="L2" s="101"/>
      <c r="M2" s="101"/>
      <c r="N2" s="101"/>
      <c r="O2" s="101"/>
      <c r="P2" s="101"/>
      <c r="Q2" s="101"/>
    </row>
    <row r="3" spans="2:17" ht="15.75" thickBot="1" x14ac:dyDescent="0.3"/>
    <row r="4" spans="2:17" ht="15.75" thickBot="1" x14ac:dyDescent="0.3">
      <c r="B4" s="453" t="s">
        <v>461</v>
      </c>
      <c r="C4" s="454"/>
      <c r="D4" s="454"/>
      <c r="E4" s="454"/>
      <c r="F4" s="454"/>
      <c r="G4" s="455"/>
    </row>
    <row r="5" spans="2:17" ht="15.75" thickBot="1" x14ac:dyDescent="0.3">
      <c r="B5" s="120"/>
      <c r="C5" s="121" t="s">
        <v>159</v>
      </c>
      <c r="D5" s="456" t="s">
        <v>452</v>
      </c>
      <c r="E5" s="456"/>
      <c r="F5" s="456"/>
      <c r="G5" s="457"/>
    </row>
    <row r="6" spans="2:17" ht="15.75" thickBot="1" x14ac:dyDescent="0.3">
      <c r="B6" s="122" t="s">
        <v>453</v>
      </c>
      <c r="C6" s="123" t="s">
        <v>104</v>
      </c>
      <c r="D6" s="124" t="s">
        <v>454</v>
      </c>
      <c r="E6" s="124" t="s">
        <v>455</v>
      </c>
      <c r="F6" s="124" t="s">
        <v>456</v>
      </c>
      <c r="G6" s="125" t="s">
        <v>457</v>
      </c>
    </row>
    <row r="7" spans="2:17" x14ac:dyDescent="0.25">
      <c r="B7" s="126">
        <v>1</v>
      </c>
      <c r="C7" s="127" t="s">
        <v>437</v>
      </c>
      <c r="D7" s="128">
        <v>14075</v>
      </c>
      <c r="E7" s="128">
        <v>4</v>
      </c>
      <c r="F7" s="128">
        <v>6</v>
      </c>
      <c r="G7" s="129">
        <v>10</v>
      </c>
    </row>
    <row r="8" spans="2:17" x14ac:dyDescent="0.25">
      <c r="B8" s="130">
        <v>2</v>
      </c>
      <c r="C8" s="131" t="s">
        <v>436</v>
      </c>
      <c r="D8" s="132">
        <v>17284</v>
      </c>
      <c r="E8" s="132">
        <v>0</v>
      </c>
      <c r="F8" s="132">
        <v>4</v>
      </c>
      <c r="G8" s="133">
        <v>4</v>
      </c>
    </row>
    <row r="9" spans="2:17" x14ac:dyDescent="0.25">
      <c r="B9" s="130">
        <v>3</v>
      </c>
      <c r="C9" s="131" t="s">
        <v>431</v>
      </c>
      <c r="D9" s="132">
        <v>0</v>
      </c>
      <c r="E9" s="132">
        <v>0</v>
      </c>
      <c r="F9" s="132">
        <v>9</v>
      </c>
      <c r="G9" s="133">
        <v>9</v>
      </c>
    </row>
    <row r="10" spans="2:17" x14ac:dyDescent="0.25">
      <c r="B10" s="130">
        <v>4</v>
      </c>
      <c r="C10" s="131" t="s">
        <v>438</v>
      </c>
      <c r="D10" s="132">
        <v>6231</v>
      </c>
      <c r="E10" s="132">
        <v>1</v>
      </c>
      <c r="F10" s="132">
        <v>5</v>
      </c>
      <c r="G10" s="133">
        <v>6</v>
      </c>
    </row>
    <row r="11" spans="2:17" x14ac:dyDescent="0.25">
      <c r="B11" s="130">
        <v>5</v>
      </c>
      <c r="C11" s="131" t="s">
        <v>439</v>
      </c>
      <c r="D11" s="132">
        <v>8261</v>
      </c>
      <c r="E11" s="132">
        <v>3</v>
      </c>
      <c r="F11" s="132">
        <v>19</v>
      </c>
      <c r="G11" s="133">
        <v>22</v>
      </c>
    </row>
    <row r="12" spans="2:17" x14ac:dyDescent="0.25">
      <c r="B12" s="130">
        <v>6</v>
      </c>
      <c r="C12" s="131" t="s">
        <v>440</v>
      </c>
      <c r="D12" s="132">
        <v>34159</v>
      </c>
      <c r="E12" s="132">
        <v>0</v>
      </c>
      <c r="F12" s="132">
        <v>7</v>
      </c>
      <c r="G12" s="133">
        <v>7</v>
      </c>
    </row>
    <row r="13" spans="2:17" x14ac:dyDescent="0.25">
      <c r="B13" s="130">
        <v>7</v>
      </c>
      <c r="C13" s="131" t="s">
        <v>441</v>
      </c>
      <c r="D13" s="132">
        <v>1888</v>
      </c>
      <c r="E13" s="132">
        <v>0</v>
      </c>
      <c r="F13" s="132">
        <v>15</v>
      </c>
      <c r="G13" s="133">
        <v>15</v>
      </c>
    </row>
    <row r="14" spans="2:17" x14ac:dyDescent="0.25">
      <c r="B14" s="130">
        <v>8</v>
      </c>
      <c r="C14" s="131" t="s">
        <v>458</v>
      </c>
      <c r="D14" s="132">
        <v>1417</v>
      </c>
      <c r="E14" s="132">
        <v>0</v>
      </c>
      <c r="F14" s="132">
        <v>13</v>
      </c>
      <c r="G14" s="133">
        <v>13</v>
      </c>
    </row>
    <row r="15" spans="2:17" x14ac:dyDescent="0.25">
      <c r="B15" s="130">
        <v>9</v>
      </c>
      <c r="C15" s="131" t="s">
        <v>432</v>
      </c>
      <c r="D15" s="132">
        <v>11</v>
      </c>
      <c r="E15" s="132">
        <v>4</v>
      </c>
      <c r="F15" s="132">
        <v>3</v>
      </c>
      <c r="G15" s="133">
        <v>7</v>
      </c>
    </row>
    <row r="16" spans="2:17" x14ac:dyDescent="0.25">
      <c r="B16" s="130">
        <v>10</v>
      </c>
      <c r="C16" s="131" t="s">
        <v>433</v>
      </c>
      <c r="D16" s="132">
        <v>0</v>
      </c>
      <c r="E16" s="132">
        <v>1</v>
      </c>
      <c r="F16" s="132">
        <v>4</v>
      </c>
      <c r="G16" s="133">
        <v>5</v>
      </c>
    </row>
    <row r="17" spans="2:7" x14ac:dyDescent="0.25">
      <c r="B17" s="130">
        <v>11</v>
      </c>
      <c r="C17" s="131" t="s">
        <v>459</v>
      </c>
      <c r="D17" s="132">
        <v>0</v>
      </c>
      <c r="E17" s="132">
        <v>0</v>
      </c>
      <c r="F17" s="132">
        <v>3</v>
      </c>
      <c r="G17" s="133">
        <v>3</v>
      </c>
    </row>
    <row r="18" spans="2:7" x14ac:dyDescent="0.25">
      <c r="B18" s="130">
        <v>12</v>
      </c>
      <c r="C18" s="131" t="s">
        <v>434</v>
      </c>
      <c r="D18" s="132">
        <v>7</v>
      </c>
      <c r="E18" s="132">
        <v>0</v>
      </c>
      <c r="F18" s="132">
        <v>1</v>
      </c>
      <c r="G18" s="133">
        <v>1</v>
      </c>
    </row>
    <row r="19" spans="2:7" x14ac:dyDescent="0.25">
      <c r="B19" s="130">
        <v>13</v>
      </c>
      <c r="C19" s="131" t="s">
        <v>460</v>
      </c>
      <c r="D19" s="132">
        <v>9085</v>
      </c>
      <c r="E19" s="132">
        <v>2</v>
      </c>
      <c r="F19" s="132">
        <v>7</v>
      </c>
      <c r="G19" s="133">
        <v>9</v>
      </c>
    </row>
    <row r="20" spans="2:7" x14ac:dyDescent="0.25">
      <c r="B20" s="130">
        <v>14</v>
      </c>
      <c r="C20" s="131" t="s">
        <v>173</v>
      </c>
      <c r="D20" s="132">
        <v>86972</v>
      </c>
      <c r="E20" s="132">
        <v>0</v>
      </c>
      <c r="F20" s="132">
        <v>4</v>
      </c>
      <c r="G20" s="133">
        <v>4</v>
      </c>
    </row>
    <row r="21" spans="2:7" x14ac:dyDescent="0.25">
      <c r="B21" s="130">
        <v>15</v>
      </c>
      <c r="C21" s="131" t="s">
        <v>435</v>
      </c>
      <c r="D21" s="132">
        <v>3</v>
      </c>
      <c r="E21" s="132">
        <v>0</v>
      </c>
      <c r="F21" s="132">
        <v>5</v>
      </c>
      <c r="G21" s="133">
        <v>5</v>
      </c>
    </row>
    <row r="22" spans="2:7" x14ac:dyDescent="0.25">
      <c r="B22" s="130">
        <v>16</v>
      </c>
      <c r="C22" s="131" t="s">
        <v>442</v>
      </c>
      <c r="D22" s="132">
        <v>1746</v>
      </c>
      <c r="E22" s="132">
        <v>0</v>
      </c>
      <c r="F22" s="132">
        <v>15</v>
      </c>
      <c r="G22" s="133">
        <v>15</v>
      </c>
    </row>
    <row r="23" spans="2:7" ht="15.75" thickBot="1" x14ac:dyDescent="0.3">
      <c r="B23" s="134">
        <v>17</v>
      </c>
      <c r="C23" s="135" t="s">
        <v>443</v>
      </c>
      <c r="D23" s="136">
        <v>1079</v>
      </c>
      <c r="E23" s="136">
        <v>0</v>
      </c>
      <c r="F23" s="136">
        <v>23</v>
      </c>
      <c r="G23" s="137">
        <v>23</v>
      </c>
    </row>
    <row r="24" spans="2:7" ht="15.75" thickBot="1" x14ac:dyDescent="0.3">
      <c r="B24" s="138"/>
      <c r="C24" s="123" t="s">
        <v>457</v>
      </c>
      <c r="D24" s="124">
        <v>182218</v>
      </c>
      <c r="E24" s="124">
        <v>15</v>
      </c>
      <c r="F24" s="124">
        <v>143</v>
      </c>
      <c r="G24" s="125">
        <v>158</v>
      </c>
    </row>
    <row r="26" spans="2:7" ht="15.75" thickBot="1" x14ac:dyDescent="0.3"/>
    <row r="27" spans="2:7" ht="15.75" thickBot="1" x14ac:dyDescent="0.3">
      <c r="B27" s="459" t="s">
        <v>643</v>
      </c>
      <c r="C27" s="460"/>
      <c r="D27" s="460"/>
      <c r="E27" s="460"/>
      <c r="F27" s="460"/>
      <c r="G27" s="461"/>
    </row>
    <row r="28" spans="2:7" ht="15.75" thickBot="1" x14ac:dyDescent="0.3">
      <c r="B28" s="459" t="s">
        <v>644</v>
      </c>
      <c r="C28" s="460"/>
      <c r="D28" s="460"/>
      <c r="E28" s="460"/>
      <c r="F28" s="460"/>
      <c r="G28" s="461"/>
    </row>
    <row r="29" spans="2:7" ht="27" thickBot="1" x14ac:dyDescent="0.3">
      <c r="B29" s="102" t="s">
        <v>453</v>
      </c>
      <c r="C29" s="103" t="s">
        <v>462</v>
      </c>
      <c r="D29" s="462" t="s">
        <v>463</v>
      </c>
      <c r="E29" s="463"/>
      <c r="F29" s="104" t="s">
        <v>647</v>
      </c>
      <c r="G29" s="105" t="s">
        <v>90</v>
      </c>
    </row>
    <row r="30" spans="2:7" ht="25.5" x14ac:dyDescent="0.25">
      <c r="B30" s="464">
        <v>1</v>
      </c>
      <c r="C30" s="466" t="s">
        <v>437</v>
      </c>
      <c r="D30" s="106">
        <v>1</v>
      </c>
      <c r="E30" s="107" t="s">
        <v>464</v>
      </c>
      <c r="F30" s="466" t="s">
        <v>465</v>
      </c>
      <c r="G30" s="108" t="s">
        <v>455</v>
      </c>
    </row>
    <row r="31" spans="2:7" ht="25.5" x14ac:dyDescent="0.25">
      <c r="B31" s="465"/>
      <c r="C31" s="467"/>
      <c r="D31" s="109">
        <v>2</v>
      </c>
      <c r="E31" s="110" t="s">
        <v>466</v>
      </c>
      <c r="F31" s="467"/>
      <c r="G31" s="111" t="s">
        <v>455</v>
      </c>
    </row>
    <row r="32" spans="2:7" x14ac:dyDescent="0.25">
      <c r="B32" s="465"/>
      <c r="C32" s="467"/>
      <c r="D32" s="109">
        <v>3</v>
      </c>
      <c r="E32" s="110" t="s">
        <v>467</v>
      </c>
      <c r="F32" s="467"/>
      <c r="G32" s="111" t="s">
        <v>456</v>
      </c>
    </row>
    <row r="33" spans="2:7" ht="25.5" x14ac:dyDescent="0.25">
      <c r="B33" s="465"/>
      <c r="C33" s="467"/>
      <c r="D33" s="109">
        <v>4</v>
      </c>
      <c r="E33" s="110" t="s">
        <v>468</v>
      </c>
      <c r="F33" s="467"/>
      <c r="G33" s="111" t="s">
        <v>455</v>
      </c>
    </row>
    <row r="34" spans="2:7" x14ac:dyDescent="0.25">
      <c r="B34" s="465"/>
      <c r="C34" s="467"/>
      <c r="D34" s="109">
        <v>5</v>
      </c>
      <c r="E34" s="110" t="s">
        <v>469</v>
      </c>
      <c r="F34" s="467"/>
      <c r="G34" s="112" t="s">
        <v>456</v>
      </c>
    </row>
    <row r="35" spans="2:7" x14ac:dyDescent="0.25">
      <c r="B35" s="465"/>
      <c r="C35" s="467"/>
      <c r="D35" s="109">
        <v>6</v>
      </c>
      <c r="E35" s="110" t="s">
        <v>470</v>
      </c>
      <c r="F35" s="467"/>
      <c r="G35" s="111" t="s">
        <v>456</v>
      </c>
    </row>
    <row r="36" spans="2:7" ht="25.5" x14ac:dyDescent="0.25">
      <c r="B36" s="465"/>
      <c r="C36" s="467"/>
      <c r="D36" s="109">
        <v>7</v>
      </c>
      <c r="E36" s="110" t="s">
        <v>471</v>
      </c>
      <c r="F36" s="467"/>
      <c r="G36" s="111" t="s">
        <v>455</v>
      </c>
    </row>
    <row r="37" spans="2:7" x14ac:dyDescent="0.25">
      <c r="B37" s="465"/>
      <c r="C37" s="467"/>
      <c r="D37" s="109">
        <v>8</v>
      </c>
      <c r="E37" s="110" t="s">
        <v>472</v>
      </c>
      <c r="F37" s="467"/>
      <c r="G37" s="111" t="s">
        <v>456</v>
      </c>
    </row>
    <row r="38" spans="2:7" x14ac:dyDescent="0.25">
      <c r="B38" s="465"/>
      <c r="C38" s="467"/>
      <c r="D38" s="109">
        <v>9</v>
      </c>
      <c r="E38" s="110" t="s">
        <v>473</v>
      </c>
      <c r="F38" s="467"/>
      <c r="G38" s="111" t="s">
        <v>456</v>
      </c>
    </row>
    <row r="39" spans="2:7" x14ac:dyDescent="0.25">
      <c r="B39" s="465"/>
      <c r="C39" s="467"/>
      <c r="D39" s="109">
        <v>10</v>
      </c>
      <c r="E39" s="110" t="s">
        <v>474</v>
      </c>
      <c r="F39" s="467"/>
      <c r="G39" s="111" t="s">
        <v>456</v>
      </c>
    </row>
    <row r="40" spans="2:7" x14ac:dyDescent="0.25">
      <c r="B40" s="465">
        <v>2</v>
      </c>
      <c r="C40" s="467" t="s">
        <v>435</v>
      </c>
      <c r="D40" s="109">
        <v>1</v>
      </c>
      <c r="E40" s="110" t="s">
        <v>475</v>
      </c>
      <c r="F40" s="467" t="s">
        <v>476</v>
      </c>
      <c r="G40" s="111" t="s">
        <v>456</v>
      </c>
    </row>
    <row r="41" spans="2:7" x14ac:dyDescent="0.25">
      <c r="B41" s="465"/>
      <c r="C41" s="467"/>
      <c r="D41" s="109">
        <v>2</v>
      </c>
      <c r="E41" s="110" t="s">
        <v>477</v>
      </c>
      <c r="F41" s="467"/>
      <c r="G41" s="111" t="s">
        <v>456</v>
      </c>
    </row>
    <row r="42" spans="2:7" x14ac:dyDescent="0.25">
      <c r="B42" s="465"/>
      <c r="C42" s="467"/>
      <c r="D42" s="109">
        <v>3</v>
      </c>
      <c r="E42" s="110" t="s">
        <v>478</v>
      </c>
      <c r="F42" s="467"/>
      <c r="G42" s="111" t="s">
        <v>456</v>
      </c>
    </row>
    <row r="43" spans="2:7" x14ac:dyDescent="0.25">
      <c r="B43" s="465"/>
      <c r="C43" s="467"/>
      <c r="D43" s="109">
        <v>4</v>
      </c>
      <c r="E43" s="110" t="s">
        <v>479</v>
      </c>
      <c r="F43" s="467"/>
      <c r="G43" s="111" t="s">
        <v>456</v>
      </c>
    </row>
    <row r="44" spans="2:7" x14ac:dyDescent="0.25">
      <c r="B44" s="465"/>
      <c r="C44" s="467"/>
      <c r="D44" s="109">
        <v>5</v>
      </c>
      <c r="E44" s="110" t="s">
        <v>480</v>
      </c>
      <c r="F44" s="467"/>
      <c r="G44" s="111" t="s">
        <v>456</v>
      </c>
    </row>
    <row r="45" spans="2:7" x14ac:dyDescent="0.25">
      <c r="B45" s="465">
        <v>3</v>
      </c>
      <c r="C45" s="467" t="s">
        <v>173</v>
      </c>
      <c r="D45" s="109">
        <v>1</v>
      </c>
      <c r="E45" s="110" t="s">
        <v>201</v>
      </c>
      <c r="F45" s="468" t="s">
        <v>481</v>
      </c>
      <c r="G45" s="111" t="s">
        <v>456</v>
      </c>
    </row>
    <row r="46" spans="2:7" x14ac:dyDescent="0.25">
      <c r="B46" s="465"/>
      <c r="C46" s="467"/>
      <c r="D46" s="109">
        <v>2</v>
      </c>
      <c r="E46" s="110" t="s">
        <v>482</v>
      </c>
      <c r="F46" s="468"/>
      <c r="G46" s="112" t="s">
        <v>456</v>
      </c>
    </row>
    <row r="47" spans="2:7" x14ac:dyDescent="0.25">
      <c r="B47" s="465"/>
      <c r="C47" s="467"/>
      <c r="D47" s="109">
        <v>3</v>
      </c>
      <c r="E47" s="110" t="s">
        <v>225</v>
      </c>
      <c r="F47" s="468"/>
      <c r="G47" s="112" t="s">
        <v>456</v>
      </c>
    </row>
    <row r="48" spans="2:7" x14ac:dyDescent="0.25">
      <c r="B48" s="465"/>
      <c r="C48" s="467"/>
      <c r="D48" s="109">
        <v>4</v>
      </c>
      <c r="E48" s="110" t="s">
        <v>483</v>
      </c>
      <c r="F48" s="468"/>
      <c r="G48" s="112" t="s">
        <v>456</v>
      </c>
    </row>
    <row r="49" spans="2:7" x14ac:dyDescent="0.25">
      <c r="B49" s="465">
        <v>4</v>
      </c>
      <c r="C49" s="467" t="s">
        <v>439</v>
      </c>
      <c r="D49" s="109">
        <v>1</v>
      </c>
      <c r="E49" s="110" t="s">
        <v>484</v>
      </c>
      <c r="F49" s="468" t="s">
        <v>485</v>
      </c>
      <c r="G49" s="112" t="s">
        <v>455</v>
      </c>
    </row>
    <row r="50" spans="2:7" x14ac:dyDescent="0.25">
      <c r="B50" s="465"/>
      <c r="C50" s="467"/>
      <c r="D50" s="109">
        <v>2</v>
      </c>
      <c r="E50" s="110" t="s">
        <v>486</v>
      </c>
      <c r="F50" s="468"/>
      <c r="G50" s="112" t="s">
        <v>455</v>
      </c>
    </row>
    <row r="51" spans="2:7" x14ac:dyDescent="0.25">
      <c r="B51" s="465"/>
      <c r="C51" s="467"/>
      <c r="D51" s="109">
        <v>3</v>
      </c>
      <c r="E51" s="110" t="s">
        <v>487</v>
      </c>
      <c r="F51" s="468"/>
      <c r="G51" s="112" t="s">
        <v>455</v>
      </c>
    </row>
    <row r="52" spans="2:7" x14ac:dyDescent="0.25">
      <c r="B52" s="465"/>
      <c r="C52" s="467"/>
      <c r="D52" s="109">
        <v>4</v>
      </c>
      <c r="E52" s="110" t="s">
        <v>488</v>
      </c>
      <c r="F52" s="468"/>
      <c r="G52" s="111" t="s">
        <v>456</v>
      </c>
    </row>
    <row r="53" spans="2:7" x14ac:dyDescent="0.25">
      <c r="B53" s="465"/>
      <c r="C53" s="467"/>
      <c r="D53" s="109">
        <v>5</v>
      </c>
      <c r="E53" s="110" t="s">
        <v>489</v>
      </c>
      <c r="F53" s="468"/>
      <c r="G53" s="111" t="s">
        <v>456</v>
      </c>
    </row>
    <row r="54" spans="2:7" x14ac:dyDescent="0.25">
      <c r="B54" s="465"/>
      <c r="C54" s="467"/>
      <c r="D54" s="109">
        <v>6</v>
      </c>
      <c r="E54" s="110" t="s">
        <v>490</v>
      </c>
      <c r="F54" s="468"/>
      <c r="G54" s="111" t="s">
        <v>456</v>
      </c>
    </row>
    <row r="55" spans="2:7" x14ac:dyDescent="0.25">
      <c r="B55" s="465"/>
      <c r="C55" s="467"/>
      <c r="D55" s="109">
        <v>7</v>
      </c>
      <c r="E55" s="110" t="s">
        <v>491</v>
      </c>
      <c r="F55" s="468"/>
      <c r="G55" s="111" t="s">
        <v>456</v>
      </c>
    </row>
    <row r="56" spans="2:7" x14ac:dyDescent="0.25">
      <c r="B56" s="465"/>
      <c r="C56" s="467"/>
      <c r="D56" s="109">
        <v>8</v>
      </c>
      <c r="E56" s="110" t="s">
        <v>492</v>
      </c>
      <c r="F56" s="468"/>
      <c r="G56" s="111" t="s">
        <v>456</v>
      </c>
    </row>
    <row r="57" spans="2:7" x14ac:dyDescent="0.25">
      <c r="B57" s="465"/>
      <c r="C57" s="467"/>
      <c r="D57" s="109">
        <v>9</v>
      </c>
      <c r="E57" s="110" t="s">
        <v>493</v>
      </c>
      <c r="F57" s="468"/>
      <c r="G57" s="111" t="s">
        <v>456</v>
      </c>
    </row>
    <row r="58" spans="2:7" x14ac:dyDescent="0.25">
      <c r="B58" s="465"/>
      <c r="C58" s="467"/>
      <c r="D58" s="109">
        <v>10</v>
      </c>
      <c r="E58" s="110" t="s">
        <v>494</v>
      </c>
      <c r="F58" s="468"/>
      <c r="G58" s="111" t="s">
        <v>456</v>
      </c>
    </row>
    <row r="59" spans="2:7" x14ac:dyDescent="0.25">
      <c r="B59" s="465"/>
      <c r="C59" s="467"/>
      <c r="D59" s="109">
        <v>11</v>
      </c>
      <c r="E59" s="110" t="s">
        <v>495</v>
      </c>
      <c r="F59" s="468"/>
      <c r="G59" s="111" t="s">
        <v>456</v>
      </c>
    </row>
    <row r="60" spans="2:7" x14ac:dyDescent="0.25">
      <c r="B60" s="465"/>
      <c r="C60" s="467"/>
      <c r="D60" s="109">
        <v>12</v>
      </c>
      <c r="E60" s="110" t="s">
        <v>496</v>
      </c>
      <c r="F60" s="468"/>
      <c r="G60" s="111" t="s">
        <v>456</v>
      </c>
    </row>
    <row r="61" spans="2:7" x14ac:dyDescent="0.25">
      <c r="B61" s="465"/>
      <c r="C61" s="467"/>
      <c r="D61" s="109">
        <v>13</v>
      </c>
      <c r="E61" s="110" t="s">
        <v>497</v>
      </c>
      <c r="F61" s="468"/>
      <c r="G61" s="111" t="s">
        <v>456</v>
      </c>
    </row>
    <row r="62" spans="2:7" x14ac:dyDescent="0.25">
      <c r="B62" s="465"/>
      <c r="C62" s="467"/>
      <c r="D62" s="109">
        <v>14</v>
      </c>
      <c r="E62" s="110" t="s">
        <v>498</v>
      </c>
      <c r="F62" s="468"/>
      <c r="G62" s="111" t="s">
        <v>456</v>
      </c>
    </row>
    <row r="63" spans="2:7" x14ac:dyDescent="0.25">
      <c r="B63" s="465"/>
      <c r="C63" s="467"/>
      <c r="D63" s="109">
        <v>15</v>
      </c>
      <c r="E63" s="110" t="s">
        <v>499</v>
      </c>
      <c r="F63" s="468"/>
      <c r="G63" s="111" t="s">
        <v>456</v>
      </c>
    </row>
    <row r="64" spans="2:7" x14ac:dyDescent="0.25">
      <c r="B64" s="465"/>
      <c r="C64" s="467"/>
      <c r="D64" s="109">
        <v>16</v>
      </c>
      <c r="E64" s="110" t="s">
        <v>500</v>
      </c>
      <c r="F64" s="468"/>
      <c r="G64" s="111" t="s">
        <v>456</v>
      </c>
    </row>
    <row r="65" spans="2:7" x14ac:dyDescent="0.25">
      <c r="B65" s="465"/>
      <c r="C65" s="467"/>
      <c r="D65" s="109">
        <v>17</v>
      </c>
      <c r="E65" s="110" t="s">
        <v>501</v>
      </c>
      <c r="F65" s="468"/>
      <c r="G65" s="111" t="s">
        <v>456</v>
      </c>
    </row>
    <row r="66" spans="2:7" x14ac:dyDescent="0.25">
      <c r="B66" s="465"/>
      <c r="C66" s="467"/>
      <c r="D66" s="109">
        <v>18</v>
      </c>
      <c r="E66" s="110" t="s">
        <v>502</v>
      </c>
      <c r="F66" s="468"/>
      <c r="G66" s="111" t="s">
        <v>456</v>
      </c>
    </row>
    <row r="67" spans="2:7" x14ac:dyDescent="0.25">
      <c r="B67" s="465"/>
      <c r="C67" s="467"/>
      <c r="D67" s="109">
        <v>19</v>
      </c>
      <c r="E67" s="110" t="s">
        <v>503</v>
      </c>
      <c r="F67" s="468"/>
      <c r="G67" s="111" t="s">
        <v>456</v>
      </c>
    </row>
    <row r="68" spans="2:7" x14ac:dyDescent="0.25">
      <c r="B68" s="465"/>
      <c r="C68" s="467"/>
      <c r="D68" s="109">
        <v>20</v>
      </c>
      <c r="E68" s="110" t="s">
        <v>504</v>
      </c>
      <c r="F68" s="468"/>
      <c r="G68" s="111" t="s">
        <v>456</v>
      </c>
    </row>
    <row r="69" spans="2:7" x14ac:dyDescent="0.25">
      <c r="B69" s="465"/>
      <c r="C69" s="467"/>
      <c r="D69" s="109">
        <v>21</v>
      </c>
      <c r="E69" s="110" t="s">
        <v>505</v>
      </c>
      <c r="F69" s="468"/>
      <c r="G69" s="111" t="s">
        <v>456</v>
      </c>
    </row>
    <row r="70" spans="2:7" x14ac:dyDescent="0.25">
      <c r="B70" s="465"/>
      <c r="C70" s="467"/>
      <c r="D70" s="109">
        <v>22</v>
      </c>
      <c r="E70" s="110" t="s">
        <v>506</v>
      </c>
      <c r="F70" s="468"/>
      <c r="G70" s="111" t="s">
        <v>456</v>
      </c>
    </row>
    <row r="71" spans="2:7" x14ac:dyDescent="0.25">
      <c r="B71" s="469">
        <v>5</v>
      </c>
      <c r="C71" s="468" t="s">
        <v>440</v>
      </c>
      <c r="D71" s="113">
        <v>1</v>
      </c>
      <c r="E71" s="115" t="s">
        <v>507</v>
      </c>
      <c r="F71" s="467" t="s">
        <v>508</v>
      </c>
      <c r="G71" s="111" t="s">
        <v>456</v>
      </c>
    </row>
    <row r="72" spans="2:7" x14ac:dyDescent="0.25">
      <c r="B72" s="469"/>
      <c r="C72" s="468"/>
      <c r="D72" s="113">
        <v>2</v>
      </c>
      <c r="E72" s="115" t="s">
        <v>509</v>
      </c>
      <c r="F72" s="467"/>
      <c r="G72" s="111" t="s">
        <v>456</v>
      </c>
    </row>
    <row r="73" spans="2:7" x14ac:dyDescent="0.25">
      <c r="B73" s="469"/>
      <c r="C73" s="468"/>
      <c r="D73" s="113">
        <v>3</v>
      </c>
      <c r="E73" s="115" t="s">
        <v>510</v>
      </c>
      <c r="F73" s="467"/>
      <c r="G73" s="111" t="s">
        <v>456</v>
      </c>
    </row>
    <row r="74" spans="2:7" x14ac:dyDescent="0.25">
      <c r="B74" s="469"/>
      <c r="C74" s="468"/>
      <c r="D74" s="113">
        <v>4</v>
      </c>
      <c r="E74" s="115" t="s">
        <v>511</v>
      </c>
      <c r="F74" s="467"/>
      <c r="G74" s="111" t="s">
        <v>456</v>
      </c>
    </row>
    <row r="75" spans="2:7" x14ac:dyDescent="0.25">
      <c r="B75" s="469"/>
      <c r="C75" s="468"/>
      <c r="D75" s="113">
        <v>5</v>
      </c>
      <c r="E75" s="115" t="s">
        <v>512</v>
      </c>
      <c r="F75" s="467"/>
      <c r="G75" s="111" t="s">
        <v>456</v>
      </c>
    </row>
    <row r="76" spans="2:7" x14ac:dyDescent="0.25">
      <c r="B76" s="469"/>
      <c r="C76" s="468"/>
      <c r="D76" s="113">
        <v>6</v>
      </c>
      <c r="E76" s="115" t="s">
        <v>513</v>
      </c>
      <c r="F76" s="467"/>
      <c r="G76" s="111" t="s">
        <v>456</v>
      </c>
    </row>
    <row r="77" spans="2:7" x14ac:dyDescent="0.25">
      <c r="B77" s="469"/>
      <c r="C77" s="468"/>
      <c r="D77" s="113">
        <v>7</v>
      </c>
      <c r="E77" s="115" t="s">
        <v>514</v>
      </c>
      <c r="F77" s="467"/>
      <c r="G77" s="111" t="s">
        <v>456</v>
      </c>
    </row>
    <row r="78" spans="2:7" x14ac:dyDescent="0.25">
      <c r="B78" s="469">
        <v>6</v>
      </c>
      <c r="C78" s="468" t="s">
        <v>441</v>
      </c>
      <c r="D78" s="113">
        <v>1</v>
      </c>
      <c r="E78" s="115" t="s">
        <v>515</v>
      </c>
      <c r="F78" s="467" t="s">
        <v>516</v>
      </c>
      <c r="G78" s="111" t="s">
        <v>456</v>
      </c>
    </row>
    <row r="79" spans="2:7" x14ac:dyDescent="0.25">
      <c r="B79" s="469"/>
      <c r="C79" s="468"/>
      <c r="D79" s="113">
        <v>2</v>
      </c>
      <c r="E79" s="115" t="s">
        <v>517</v>
      </c>
      <c r="F79" s="467"/>
      <c r="G79" s="111" t="s">
        <v>456</v>
      </c>
    </row>
    <row r="80" spans="2:7" x14ac:dyDescent="0.25">
      <c r="B80" s="469"/>
      <c r="C80" s="468"/>
      <c r="D80" s="113">
        <v>3</v>
      </c>
      <c r="E80" s="115" t="s">
        <v>518</v>
      </c>
      <c r="F80" s="467"/>
      <c r="G80" s="111" t="s">
        <v>456</v>
      </c>
    </row>
    <row r="81" spans="2:7" x14ac:dyDescent="0.25">
      <c r="B81" s="469"/>
      <c r="C81" s="468"/>
      <c r="D81" s="113">
        <v>4</v>
      </c>
      <c r="E81" s="115" t="s">
        <v>519</v>
      </c>
      <c r="F81" s="467"/>
      <c r="G81" s="111" t="s">
        <v>456</v>
      </c>
    </row>
    <row r="82" spans="2:7" x14ac:dyDescent="0.25">
      <c r="B82" s="469"/>
      <c r="C82" s="468"/>
      <c r="D82" s="113">
        <v>5</v>
      </c>
      <c r="E82" s="115" t="s">
        <v>520</v>
      </c>
      <c r="F82" s="467"/>
      <c r="G82" s="111" t="s">
        <v>456</v>
      </c>
    </row>
    <row r="83" spans="2:7" x14ac:dyDescent="0.25">
      <c r="B83" s="469"/>
      <c r="C83" s="468"/>
      <c r="D83" s="113">
        <v>6</v>
      </c>
      <c r="E83" s="115" t="s">
        <v>521</v>
      </c>
      <c r="F83" s="467"/>
      <c r="G83" s="111" t="s">
        <v>456</v>
      </c>
    </row>
    <row r="84" spans="2:7" x14ac:dyDescent="0.25">
      <c r="B84" s="469"/>
      <c r="C84" s="468"/>
      <c r="D84" s="113">
        <v>7</v>
      </c>
      <c r="E84" s="115" t="s">
        <v>522</v>
      </c>
      <c r="F84" s="467"/>
      <c r="G84" s="111" t="s">
        <v>456</v>
      </c>
    </row>
    <row r="85" spans="2:7" x14ac:dyDescent="0.25">
      <c r="B85" s="469"/>
      <c r="C85" s="468"/>
      <c r="D85" s="113">
        <v>8</v>
      </c>
      <c r="E85" s="115" t="s">
        <v>523</v>
      </c>
      <c r="F85" s="467"/>
      <c r="G85" s="111" t="s">
        <v>456</v>
      </c>
    </row>
    <row r="86" spans="2:7" x14ac:dyDescent="0.25">
      <c r="B86" s="469"/>
      <c r="C86" s="468"/>
      <c r="D86" s="113">
        <v>9</v>
      </c>
      <c r="E86" s="115" t="s">
        <v>524</v>
      </c>
      <c r="F86" s="467"/>
      <c r="G86" s="111" t="s">
        <v>456</v>
      </c>
    </row>
    <row r="87" spans="2:7" x14ac:dyDescent="0.25">
      <c r="B87" s="469"/>
      <c r="C87" s="468"/>
      <c r="D87" s="113">
        <v>10</v>
      </c>
      <c r="E87" s="115" t="s">
        <v>525</v>
      </c>
      <c r="F87" s="467"/>
      <c r="G87" s="111" t="s">
        <v>456</v>
      </c>
    </row>
    <row r="88" spans="2:7" x14ac:dyDescent="0.25">
      <c r="B88" s="469"/>
      <c r="C88" s="468"/>
      <c r="D88" s="113">
        <v>11</v>
      </c>
      <c r="E88" s="115" t="s">
        <v>526</v>
      </c>
      <c r="F88" s="467"/>
      <c r="G88" s="111" t="s">
        <v>456</v>
      </c>
    </row>
    <row r="89" spans="2:7" x14ac:dyDescent="0.25">
      <c r="B89" s="469"/>
      <c r="C89" s="468"/>
      <c r="D89" s="113">
        <v>12</v>
      </c>
      <c r="E89" s="115" t="s">
        <v>527</v>
      </c>
      <c r="F89" s="467"/>
      <c r="G89" s="111" t="s">
        <v>456</v>
      </c>
    </row>
    <row r="90" spans="2:7" x14ac:dyDescent="0.25">
      <c r="B90" s="469"/>
      <c r="C90" s="468"/>
      <c r="D90" s="113">
        <v>13</v>
      </c>
      <c r="E90" s="115" t="s">
        <v>528</v>
      </c>
      <c r="F90" s="467"/>
      <c r="G90" s="111" t="s">
        <v>456</v>
      </c>
    </row>
    <row r="91" spans="2:7" x14ac:dyDescent="0.25">
      <c r="B91" s="469"/>
      <c r="C91" s="468"/>
      <c r="D91" s="113">
        <v>14</v>
      </c>
      <c r="E91" s="115" t="s">
        <v>529</v>
      </c>
      <c r="F91" s="467"/>
      <c r="G91" s="111" t="s">
        <v>456</v>
      </c>
    </row>
    <row r="92" spans="2:7" x14ac:dyDescent="0.25">
      <c r="B92" s="469"/>
      <c r="C92" s="468"/>
      <c r="D92" s="113">
        <v>15</v>
      </c>
      <c r="E92" s="115" t="s">
        <v>530</v>
      </c>
      <c r="F92" s="467"/>
      <c r="G92" s="111" t="s">
        <v>456</v>
      </c>
    </row>
    <row r="93" spans="2:7" x14ac:dyDescent="0.25">
      <c r="B93" s="469">
        <v>7</v>
      </c>
      <c r="C93" s="467" t="s">
        <v>443</v>
      </c>
      <c r="D93" s="109">
        <v>1</v>
      </c>
      <c r="E93" s="115" t="s">
        <v>531</v>
      </c>
      <c r="F93" s="468" t="s">
        <v>532</v>
      </c>
      <c r="G93" s="112" t="s">
        <v>456</v>
      </c>
    </row>
    <row r="94" spans="2:7" x14ac:dyDescent="0.25">
      <c r="B94" s="469"/>
      <c r="C94" s="467"/>
      <c r="D94" s="109">
        <v>2</v>
      </c>
      <c r="E94" s="115" t="s">
        <v>533</v>
      </c>
      <c r="F94" s="468"/>
      <c r="G94" s="112" t="s">
        <v>456</v>
      </c>
    </row>
    <row r="95" spans="2:7" x14ac:dyDescent="0.25">
      <c r="B95" s="469"/>
      <c r="C95" s="467"/>
      <c r="D95" s="109">
        <v>3</v>
      </c>
      <c r="E95" s="115" t="s">
        <v>534</v>
      </c>
      <c r="F95" s="468"/>
      <c r="G95" s="112" t="s">
        <v>456</v>
      </c>
    </row>
    <row r="96" spans="2:7" x14ac:dyDescent="0.25">
      <c r="B96" s="469"/>
      <c r="C96" s="467"/>
      <c r="D96" s="109">
        <v>4</v>
      </c>
      <c r="E96" s="115" t="s">
        <v>535</v>
      </c>
      <c r="F96" s="468"/>
      <c r="G96" s="112" t="s">
        <v>456</v>
      </c>
    </row>
    <row r="97" spans="2:7" x14ac:dyDescent="0.25">
      <c r="B97" s="469"/>
      <c r="C97" s="467"/>
      <c r="D97" s="109">
        <v>5</v>
      </c>
      <c r="E97" s="115" t="s">
        <v>536</v>
      </c>
      <c r="F97" s="468"/>
      <c r="G97" s="112" t="s">
        <v>456</v>
      </c>
    </row>
    <row r="98" spans="2:7" x14ac:dyDescent="0.25">
      <c r="B98" s="469"/>
      <c r="C98" s="467"/>
      <c r="D98" s="109">
        <v>6</v>
      </c>
      <c r="E98" s="115" t="s">
        <v>537</v>
      </c>
      <c r="F98" s="468"/>
      <c r="G98" s="112" t="s">
        <v>456</v>
      </c>
    </row>
    <row r="99" spans="2:7" x14ac:dyDescent="0.25">
      <c r="B99" s="469"/>
      <c r="C99" s="467"/>
      <c r="D99" s="109">
        <v>7</v>
      </c>
      <c r="E99" s="115" t="s">
        <v>538</v>
      </c>
      <c r="F99" s="468"/>
      <c r="G99" s="112" t="s">
        <v>456</v>
      </c>
    </row>
    <row r="100" spans="2:7" x14ac:dyDescent="0.25">
      <c r="B100" s="469"/>
      <c r="C100" s="467"/>
      <c r="D100" s="109">
        <v>8</v>
      </c>
      <c r="E100" s="115" t="s">
        <v>539</v>
      </c>
      <c r="F100" s="468"/>
      <c r="G100" s="112" t="s">
        <v>456</v>
      </c>
    </row>
    <row r="101" spans="2:7" x14ac:dyDescent="0.25">
      <c r="B101" s="469"/>
      <c r="C101" s="467"/>
      <c r="D101" s="109">
        <v>9</v>
      </c>
      <c r="E101" s="115" t="s">
        <v>540</v>
      </c>
      <c r="F101" s="468"/>
      <c r="G101" s="112" t="s">
        <v>456</v>
      </c>
    </row>
    <row r="102" spans="2:7" x14ac:dyDescent="0.25">
      <c r="B102" s="469"/>
      <c r="C102" s="467"/>
      <c r="D102" s="109">
        <v>10</v>
      </c>
      <c r="E102" s="115" t="s">
        <v>541</v>
      </c>
      <c r="F102" s="468"/>
      <c r="G102" s="112" t="s">
        <v>456</v>
      </c>
    </row>
    <row r="103" spans="2:7" x14ac:dyDescent="0.25">
      <c r="B103" s="469"/>
      <c r="C103" s="467"/>
      <c r="D103" s="109">
        <v>11</v>
      </c>
      <c r="E103" s="115" t="s">
        <v>542</v>
      </c>
      <c r="F103" s="468"/>
      <c r="G103" s="112" t="s">
        <v>456</v>
      </c>
    </row>
    <row r="104" spans="2:7" x14ac:dyDescent="0.25">
      <c r="B104" s="469"/>
      <c r="C104" s="467"/>
      <c r="D104" s="109">
        <v>12</v>
      </c>
      <c r="E104" s="115" t="s">
        <v>543</v>
      </c>
      <c r="F104" s="468"/>
      <c r="G104" s="112" t="s">
        <v>456</v>
      </c>
    </row>
    <row r="105" spans="2:7" x14ac:dyDescent="0.25">
      <c r="B105" s="469"/>
      <c r="C105" s="467"/>
      <c r="D105" s="109">
        <v>13</v>
      </c>
      <c r="E105" s="115" t="s">
        <v>544</v>
      </c>
      <c r="F105" s="468"/>
      <c r="G105" s="112" t="s">
        <v>456</v>
      </c>
    </row>
    <row r="106" spans="2:7" x14ac:dyDescent="0.25">
      <c r="B106" s="469"/>
      <c r="C106" s="467"/>
      <c r="D106" s="109">
        <v>14</v>
      </c>
      <c r="E106" s="115" t="s">
        <v>545</v>
      </c>
      <c r="F106" s="468"/>
      <c r="G106" s="112" t="s">
        <v>456</v>
      </c>
    </row>
    <row r="107" spans="2:7" x14ac:dyDescent="0.25">
      <c r="B107" s="469"/>
      <c r="C107" s="467"/>
      <c r="D107" s="109">
        <v>15</v>
      </c>
      <c r="E107" s="115" t="s">
        <v>546</v>
      </c>
      <c r="F107" s="468"/>
      <c r="G107" s="112" t="s">
        <v>456</v>
      </c>
    </row>
    <row r="108" spans="2:7" x14ac:dyDescent="0.25">
      <c r="B108" s="469"/>
      <c r="C108" s="467"/>
      <c r="D108" s="109">
        <v>16</v>
      </c>
      <c r="E108" s="115" t="s">
        <v>547</v>
      </c>
      <c r="F108" s="468"/>
      <c r="G108" s="112" t="s">
        <v>456</v>
      </c>
    </row>
    <row r="109" spans="2:7" x14ac:dyDescent="0.25">
      <c r="B109" s="469"/>
      <c r="C109" s="467"/>
      <c r="D109" s="109">
        <v>17</v>
      </c>
      <c r="E109" s="115" t="s">
        <v>548</v>
      </c>
      <c r="F109" s="468"/>
      <c r="G109" s="112" t="s">
        <v>456</v>
      </c>
    </row>
    <row r="110" spans="2:7" x14ac:dyDescent="0.25">
      <c r="B110" s="469"/>
      <c r="C110" s="467"/>
      <c r="D110" s="109">
        <v>18</v>
      </c>
      <c r="E110" s="115" t="s">
        <v>549</v>
      </c>
      <c r="F110" s="468"/>
      <c r="G110" s="112" t="s">
        <v>456</v>
      </c>
    </row>
    <row r="111" spans="2:7" x14ac:dyDescent="0.25">
      <c r="B111" s="469"/>
      <c r="C111" s="467"/>
      <c r="D111" s="109">
        <v>19</v>
      </c>
      <c r="E111" s="115" t="s">
        <v>550</v>
      </c>
      <c r="F111" s="468"/>
      <c r="G111" s="112" t="s">
        <v>456</v>
      </c>
    </row>
    <row r="112" spans="2:7" x14ac:dyDescent="0.25">
      <c r="B112" s="469"/>
      <c r="C112" s="467"/>
      <c r="D112" s="109">
        <v>20</v>
      </c>
      <c r="E112" s="115" t="s">
        <v>551</v>
      </c>
      <c r="F112" s="468"/>
      <c r="G112" s="112" t="s">
        <v>456</v>
      </c>
    </row>
    <row r="113" spans="2:7" x14ac:dyDescent="0.25">
      <c r="B113" s="469"/>
      <c r="C113" s="467"/>
      <c r="D113" s="109">
        <v>21</v>
      </c>
      <c r="E113" s="115" t="s">
        <v>552</v>
      </c>
      <c r="F113" s="468"/>
      <c r="G113" s="112" t="s">
        <v>456</v>
      </c>
    </row>
    <row r="114" spans="2:7" x14ac:dyDescent="0.25">
      <c r="B114" s="469"/>
      <c r="C114" s="467"/>
      <c r="D114" s="109">
        <v>22</v>
      </c>
      <c r="E114" s="115" t="s">
        <v>553</v>
      </c>
      <c r="F114" s="468"/>
      <c r="G114" s="112" t="s">
        <v>456</v>
      </c>
    </row>
    <row r="115" spans="2:7" x14ac:dyDescent="0.25">
      <c r="B115" s="469"/>
      <c r="C115" s="467"/>
      <c r="D115" s="109">
        <v>23</v>
      </c>
      <c r="E115" s="115" t="s">
        <v>554</v>
      </c>
      <c r="F115" s="468"/>
      <c r="G115" s="112" t="s">
        <v>456</v>
      </c>
    </row>
    <row r="116" spans="2:7" x14ac:dyDescent="0.25">
      <c r="B116" s="469">
        <v>8</v>
      </c>
      <c r="C116" s="467" t="s">
        <v>442</v>
      </c>
      <c r="D116" s="113">
        <v>1</v>
      </c>
      <c r="E116" s="110" t="s">
        <v>555</v>
      </c>
      <c r="F116" s="467" t="s">
        <v>556</v>
      </c>
      <c r="G116" s="111" t="s">
        <v>456</v>
      </c>
    </row>
    <row r="117" spans="2:7" x14ac:dyDescent="0.25">
      <c r="B117" s="469"/>
      <c r="C117" s="467"/>
      <c r="D117" s="113">
        <v>2</v>
      </c>
      <c r="E117" s="110" t="s">
        <v>557</v>
      </c>
      <c r="F117" s="467"/>
      <c r="G117" s="111" t="s">
        <v>456</v>
      </c>
    </row>
    <row r="118" spans="2:7" x14ac:dyDescent="0.25">
      <c r="B118" s="469"/>
      <c r="C118" s="467"/>
      <c r="D118" s="113">
        <v>3</v>
      </c>
      <c r="E118" s="110" t="s">
        <v>558</v>
      </c>
      <c r="F118" s="467"/>
      <c r="G118" s="111" t="s">
        <v>456</v>
      </c>
    </row>
    <row r="119" spans="2:7" x14ac:dyDescent="0.25">
      <c r="B119" s="469"/>
      <c r="C119" s="467"/>
      <c r="D119" s="113">
        <v>4</v>
      </c>
      <c r="E119" s="110" t="s">
        <v>559</v>
      </c>
      <c r="F119" s="467"/>
      <c r="G119" s="111" t="s">
        <v>456</v>
      </c>
    </row>
    <row r="120" spans="2:7" x14ac:dyDescent="0.25">
      <c r="B120" s="469"/>
      <c r="C120" s="467"/>
      <c r="D120" s="113">
        <v>5</v>
      </c>
      <c r="E120" s="110" t="s">
        <v>560</v>
      </c>
      <c r="F120" s="467"/>
      <c r="G120" s="111" t="s">
        <v>456</v>
      </c>
    </row>
    <row r="121" spans="2:7" x14ac:dyDescent="0.25">
      <c r="B121" s="469"/>
      <c r="C121" s="467"/>
      <c r="D121" s="113">
        <v>6</v>
      </c>
      <c r="E121" s="110" t="s">
        <v>561</v>
      </c>
      <c r="F121" s="467"/>
      <c r="G121" s="111" t="s">
        <v>456</v>
      </c>
    </row>
    <row r="122" spans="2:7" x14ac:dyDescent="0.25">
      <c r="B122" s="469"/>
      <c r="C122" s="467"/>
      <c r="D122" s="113">
        <v>7</v>
      </c>
      <c r="E122" s="110" t="s">
        <v>562</v>
      </c>
      <c r="F122" s="467"/>
      <c r="G122" s="111" t="s">
        <v>456</v>
      </c>
    </row>
    <row r="123" spans="2:7" x14ac:dyDescent="0.25">
      <c r="B123" s="469"/>
      <c r="C123" s="467"/>
      <c r="D123" s="113">
        <v>8</v>
      </c>
      <c r="E123" s="110" t="s">
        <v>563</v>
      </c>
      <c r="F123" s="467"/>
      <c r="G123" s="111" t="s">
        <v>456</v>
      </c>
    </row>
    <row r="124" spans="2:7" x14ac:dyDescent="0.25">
      <c r="B124" s="469"/>
      <c r="C124" s="467"/>
      <c r="D124" s="113">
        <v>9</v>
      </c>
      <c r="E124" s="110" t="s">
        <v>564</v>
      </c>
      <c r="F124" s="467"/>
      <c r="G124" s="111" t="s">
        <v>456</v>
      </c>
    </row>
    <row r="125" spans="2:7" x14ac:dyDescent="0.25">
      <c r="B125" s="469"/>
      <c r="C125" s="467"/>
      <c r="D125" s="113">
        <v>10</v>
      </c>
      <c r="E125" s="110" t="s">
        <v>565</v>
      </c>
      <c r="F125" s="467"/>
      <c r="G125" s="111" t="s">
        <v>456</v>
      </c>
    </row>
    <row r="126" spans="2:7" x14ac:dyDescent="0.25">
      <c r="B126" s="469"/>
      <c r="C126" s="467"/>
      <c r="D126" s="113">
        <v>11</v>
      </c>
      <c r="E126" s="110" t="s">
        <v>566</v>
      </c>
      <c r="F126" s="467"/>
      <c r="G126" s="111" t="s">
        <v>456</v>
      </c>
    </row>
    <row r="127" spans="2:7" x14ac:dyDescent="0.25">
      <c r="B127" s="469"/>
      <c r="C127" s="467"/>
      <c r="D127" s="113">
        <v>12</v>
      </c>
      <c r="E127" s="110" t="s">
        <v>567</v>
      </c>
      <c r="F127" s="467"/>
      <c r="G127" s="111" t="s">
        <v>456</v>
      </c>
    </row>
    <row r="128" spans="2:7" x14ac:dyDescent="0.25">
      <c r="B128" s="469"/>
      <c r="C128" s="467"/>
      <c r="D128" s="113">
        <v>13</v>
      </c>
      <c r="E128" s="110" t="s">
        <v>568</v>
      </c>
      <c r="F128" s="467"/>
      <c r="G128" s="111" t="s">
        <v>456</v>
      </c>
    </row>
    <row r="129" spans="2:7" x14ac:dyDescent="0.25">
      <c r="B129" s="469"/>
      <c r="C129" s="467"/>
      <c r="D129" s="113">
        <v>14</v>
      </c>
      <c r="E129" s="110" t="s">
        <v>569</v>
      </c>
      <c r="F129" s="467"/>
      <c r="G129" s="111" t="s">
        <v>456</v>
      </c>
    </row>
    <row r="130" spans="2:7" x14ac:dyDescent="0.25">
      <c r="B130" s="469"/>
      <c r="C130" s="467"/>
      <c r="D130" s="113">
        <v>15</v>
      </c>
      <c r="E130" s="110" t="s">
        <v>570</v>
      </c>
      <c r="F130" s="467"/>
      <c r="G130" s="111" t="s">
        <v>456</v>
      </c>
    </row>
    <row r="131" spans="2:7" x14ac:dyDescent="0.25">
      <c r="B131" s="469">
        <v>9</v>
      </c>
      <c r="C131" s="467" t="s">
        <v>571</v>
      </c>
      <c r="D131" s="109">
        <v>1</v>
      </c>
      <c r="E131" s="115" t="s">
        <v>572</v>
      </c>
      <c r="F131" s="467" t="s">
        <v>573</v>
      </c>
      <c r="G131" s="112" t="s">
        <v>456</v>
      </c>
    </row>
    <row r="132" spans="2:7" x14ac:dyDescent="0.25">
      <c r="B132" s="469"/>
      <c r="C132" s="467"/>
      <c r="D132" s="109">
        <v>2</v>
      </c>
      <c r="E132" s="115" t="s">
        <v>574</v>
      </c>
      <c r="F132" s="467"/>
      <c r="G132" s="112" t="s">
        <v>456</v>
      </c>
    </row>
    <row r="133" spans="2:7" x14ac:dyDescent="0.25">
      <c r="B133" s="469"/>
      <c r="C133" s="467"/>
      <c r="D133" s="109">
        <v>3</v>
      </c>
      <c r="E133" s="115" t="s">
        <v>575</v>
      </c>
      <c r="F133" s="467"/>
      <c r="G133" s="112" t="s">
        <v>456</v>
      </c>
    </row>
    <row r="134" spans="2:7" ht="25.5" x14ac:dyDescent="0.25">
      <c r="B134" s="469">
        <v>10</v>
      </c>
      <c r="C134" s="467" t="s">
        <v>438</v>
      </c>
      <c r="D134" s="109">
        <v>1</v>
      </c>
      <c r="E134" s="115" t="s">
        <v>576</v>
      </c>
      <c r="F134" s="467" t="s">
        <v>577</v>
      </c>
      <c r="G134" s="111" t="s">
        <v>455</v>
      </c>
    </row>
    <row r="135" spans="2:7" x14ac:dyDescent="0.25">
      <c r="B135" s="469"/>
      <c r="C135" s="467"/>
      <c r="D135" s="109">
        <v>2</v>
      </c>
      <c r="E135" s="115" t="s">
        <v>578</v>
      </c>
      <c r="F135" s="467"/>
      <c r="G135" s="111" t="s">
        <v>456</v>
      </c>
    </row>
    <row r="136" spans="2:7" x14ac:dyDescent="0.25">
      <c r="B136" s="469"/>
      <c r="C136" s="467"/>
      <c r="D136" s="109">
        <v>3</v>
      </c>
      <c r="E136" s="115" t="s">
        <v>579</v>
      </c>
      <c r="F136" s="467"/>
      <c r="G136" s="111" t="s">
        <v>456</v>
      </c>
    </row>
    <row r="137" spans="2:7" x14ac:dyDescent="0.25">
      <c r="B137" s="469"/>
      <c r="C137" s="467"/>
      <c r="D137" s="109">
        <v>4</v>
      </c>
      <c r="E137" s="115" t="s">
        <v>580</v>
      </c>
      <c r="F137" s="467"/>
      <c r="G137" s="111" t="s">
        <v>456</v>
      </c>
    </row>
    <row r="138" spans="2:7" x14ac:dyDescent="0.25">
      <c r="B138" s="469"/>
      <c r="C138" s="467"/>
      <c r="D138" s="109">
        <v>5</v>
      </c>
      <c r="E138" s="115" t="s">
        <v>581</v>
      </c>
      <c r="F138" s="467"/>
      <c r="G138" s="111" t="s">
        <v>456</v>
      </c>
    </row>
    <row r="139" spans="2:7" x14ac:dyDescent="0.25">
      <c r="B139" s="469"/>
      <c r="C139" s="467"/>
      <c r="D139" s="109">
        <v>6</v>
      </c>
      <c r="E139" s="115" t="s">
        <v>582</v>
      </c>
      <c r="F139" s="467"/>
      <c r="G139" s="112" t="s">
        <v>456</v>
      </c>
    </row>
    <row r="140" spans="2:7" x14ac:dyDescent="0.25">
      <c r="B140" s="114">
        <v>11</v>
      </c>
      <c r="C140" s="113" t="s">
        <v>583</v>
      </c>
      <c r="D140" s="113">
        <v>1</v>
      </c>
      <c r="E140" s="115" t="s">
        <v>584</v>
      </c>
      <c r="F140" s="113" t="s">
        <v>585</v>
      </c>
      <c r="G140" s="112" t="s">
        <v>456</v>
      </c>
    </row>
    <row r="141" spans="2:7" x14ac:dyDescent="0.25">
      <c r="B141" s="469">
        <v>12</v>
      </c>
      <c r="C141" s="467" t="s">
        <v>431</v>
      </c>
      <c r="D141" s="109">
        <v>1</v>
      </c>
      <c r="E141" s="110" t="s">
        <v>586</v>
      </c>
      <c r="F141" s="467" t="s">
        <v>587</v>
      </c>
      <c r="G141" s="111" t="s">
        <v>456</v>
      </c>
    </row>
    <row r="142" spans="2:7" x14ac:dyDescent="0.25">
      <c r="B142" s="469"/>
      <c r="C142" s="467"/>
      <c r="D142" s="109">
        <v>2</v>
      </c>
      <c r="E142" s="110" t="s">
        <v>588</v>
      </c>
      <c r="F142" s="467"/>
      <c r="G142" s="111" t="s">
        <v>456</v>
      </c>
    </row>
    <row r="143" spans="2:7" x14ac:dyDescent="0.25">
      <c r="B143" s="469"/>
      <c r="C143" s="467"/>
      <c r="D143" s="109">
        <v>3</v>
      </c>
      <c r="E143" s="110" t="s">
        <v>589</v>
      </c>
      <c r="F143" s="467"/>
      <c r="G143" s="111" t="s">
        <v>456</v>
      </c>
    </row>
    <row r="144" spans="2:7" x14ac:dyDescent="0.25">
      <c r="B144" s="469"/>
      <c r="C144" s="467"/>
      <c r="D144" s="109">
        <v>4</v>
      </c>
      <c r="E144" s="110" t="s">
        <v>590</v>
      </c>
      <c r="F144" s="467"/>
      <c r="G144" s="111" t="s">
        <v>456</v>
      </c>
    </row>
    <row r="145" spans="2:7" x14ac:dyDescent="0.25">
      <c r="B145" s="469"/>
      <c r="C145" s="467"/>
      <c r="D145" s="109">
        <v>5</v>
      </c>
      <c r="E145" s="110" t="s">
        <v>591</v>
      </c>
      <c r="F145" s="467"/>
      <c r="G145" s="111" t="s">
        <v>456</v>
      </c>
    </row>
    <row r="146" spans="2:7" x14ac:dyDescent="0.25">
      <c r="B146" s="469"/>
      <c r="C146" s="467"/>
      <c r="D146" s="109">
        <v>6</v>
      </c>
      <c r="E146" s="110" t="s">
        <v>592</v>
      </c>
      <c r="F146" s="467"/>
      <c r="G146" s="111" t="s">
        <v>456</v>
      </c>
    </row>
    <row r="147" spans="2:7" x14ac:dyDescent="0.25">
      <c r="B147" s="469"/>
      <c r="C147" s="467"/>
      <c r="D147" s="109">
        <v>7</v>
      </c>
      <c r="E147" s="110" t="s">
        <v>593</v>
      </c>
      <c r="F147" s="467"/>
      <c r="G147" s="111" t="s">
        <v>456</v>
      </c>
    </row>
    <row r="148" spans="2:7" x14ac:dyDescent="0.25">
      <c r="B148" s="469"/>
      <c r="C148" s="467"/>
      <c r="D148" s="109">
        <v>8</v>
      </c>
      <c r="E148" s="110" t="s">
        <v>594</v>
      </c>
      <c r="F148" s="467"/>
      <c r="G148" s="111" t="s">
        <v>456</v>
      </c>
    </row>
    <row r="149" spans="2:7" x14ac:dyDescent="0.25">
      <c r="B149" s="469"/>
      <c r="C149" s="467"/>
      <c r="D149" s="109">
        <v>9</v>
      </c>
      <c r="E149" s="110" t="s">
        <v>595</v>
      </c>
      <c r="F149" s="467"/>
      <c r="G149" s="111" t="s">
        <v>456</v>
      </c>
    </row>
    <row r="150" spans="2:7" x14ac:dyDescent="0.25">
      <c r="B150" s="469">
        <v>13</v>
      </c>
      <c r="C150" s="467" t="s">
        <v>458</v>
      </c>
      <c r="D150" s="109">
        <v>1</v>
      </c>
      <c r="E150" s="115" t="s">
        <v>596</v>
      </c>
      <c r="F150" s="468" t="s">
        <v>597</v>
      </c>
      <c r="G150" s="111" t="s">
        <v>456</v>
      </c>
    </row>
    <row r="151" spans="2:7" x14ac:dyDescent="0.25">
      <c r="B151" s="469"/>
      <c r="C151" s="467"/>
      <c r="D151" s="109">
        <v>2</v>
      </c>
      <c r="E151" s="115" t="s">
        <v>598</v>
      </c>
      <c r="F151" s="468"/>
      <c r="G151" s="111" t="s">
        <v>456</v>
      </c>
    </row>
    <row r="152" spans="2:7" x14ac:dyDescent="0.25">
      <c r="B152" s="469"/>
      <c r="C152" s="467"/>
      <c r="D152" s="109">
        <v>3</v>
      </c>
      <c r="E152" s="115" t="s">
        <v>599</v>
      </c>
      <c r="F152" s="468"/>
      <c r="G152" s="111" t="s">
        <v>456</v>
      </c>
    </row>
    <row r="153" spans="2:7" x14ac:dyDescent="0.25">
      <c r="B153" s="469"/>
      <c r="C153" s="467"/>
      <c r="D153" s="109">
        <v>4</v>
      </c>
      <c r="E153" s="115" t="s">
        <v>600</v>
      </c>
      <c r="F153" s="468"/>
      <c r="G153" s="111" t="s">
        <v>456</v>
      </c>
    </row>
    <row r="154" spans="2:7" x14ac:dyDescent="0.25">
      <c r="B154" s="469"/>
      <c r="C154" s="467"/>
      <c r="D154" s="109">
        <v>5</v>
      </c>
      <c r="E154" s="115" t="s">
        <v>601</v>
      </c>
      <c r="F154" s="468"/>
      <c r="G154" s="111" t="s">
        <v>456</v>
      </c>
    </row>
    <row r="155" spans="2:7" x14ac:dyDescent="0.25">
      <c r="B155" s="469"/>
      <c r="C155" s="467"/>
      <c r="D155" s="109">
        <v>6</v>
      </c>
      <c r="E155" s="115" t="s">
        <v>602</v>
      </c>
      <c r="F155" s="468"/>
      <c r="G155" s="111" t="s">
        <v>456</v>
      </c>
    </row>
    <row r="156" spans="2:7" x14ac:dyDescent="0.25">
      <c r="B156" s="469"/>
      <c r="C156" s="467"/>
      <c r="D156" s="109">
        <v>7</v>
      </c>
      <c r="E156" s="115" t="s">
        <v>603</v>
      </c>
      <c r="F156" s="468"/>
      <c r="G156" s="111" t="s">
        <v>456</v>
      </c>
    </row>
    <row r="157" spans="2:7" x14ac:dyDescent="0.25">
      <c r="B157" s="469"/>
      <c r="C157" s="467"/>
      <c r="D157" s="109">
        <v>8</v>
      </c>
      <c r="E157" s="115" t="s">
        <v>604</v>
      </c>
      <c r="F157" s="468"/>
      <c r="G157" s="111" t="s">
        <v>456</v>
      </c>
    </row>
    <row r="158" spans="2:7" x14ac:dyDescent="0.25">
      <c r="B158" s="469"/>
      <c r="C158" s="467"/>
      <c r="D158" s="109">
        <v>9</v>
      </c>
      <c r="E158" s="115" t="s">
        <v>605</v>
      </c>
      <c r="F158" s="468"/>
      <c r="G158" s="111" t="s">
        <v>456</v>
      </c>
    </row>
    <row r="159" spans="2:7" x14ac:dyDescent="0.25">
      <c r="B159" s="469"/>
      <c r="C159" s="467"/>
      <c r="D159" s="109">
        <v>10</v>
      </c>
      <c r="E159" s="115" t="s">
        <v>606</v>
      </c>
      <c r="F159" s="468"/>
      <c r="G159" s="111" t="s">
        <v>456</v>
      </c>
    </row>
    <row r="160" spans="2:7" x14ac:dyDescent="0.25">
      <c r="B160" s="469"/>
      <c r="C160" s="467"/>
      <c r="D160" s="109">
        <v>11</v>
      </c>
      <c r="E160" s="115" t="s">
        <v>607</v>
      </c>
      <c r="F160" s="468"/>
      <c r="G160" s="111" t="s">
        <v>456</v>
      </c>
    </row>
    <row r="161" spans="2:7" x14ac:dyDescent="0.25">
      <c r="B161" s="469"/>
      <c r="C161" s="467"/>
      <c r="D161" s="109">
        <v>12</v>
      </c>
      <c r="E161" s="115" t="s">
        <v>608</v>
      </c>
      <c r="F161" s="468"/>
      <c r="G161" s="111" t="s">
        <v>456</v>
      </c>
    </row>
    <row r="162" spans="2:7" x14ac:dyDescent="0.25">
      <c r="B162" s="469"/>
      <c r="C162" s="467"/>
      <c r="D162" s="109">
        <v>13</v>
      </c>
      <c r="E162" s="115" t="s">
        <v>609</v>
      </c>
      <c r="F162" s="468"/>
      <c r="G162" s="111" t="s">
        <v>456</v>
      </c>
    </row>
    <row r="163" spans="2:7" x14ac:dyDescent="0.25">
      <c r="B163" s="469">
        <v>14</v>
      </c>
      <c r="C163" s="467" t="s">
        <v>436</v>
      </c>
      <c r="D163" s="109">
        <v>1</v>
      </c>
      <c r="E163" s="110" t="s">
        <v>610</v>
      </c>
      <c r="F163" s="467" t="s">
        <v>611</v>
      </c>
      <c r="G163" s="112" t="s">
        <v>456</v>
      </c>
    </row>
    <row r="164" spans="2:7" x14ac:dyDescent="0.25">
      <c r="B164" s="469"/>
      <c r="C164" s="467"/>
      <c r="D164" s="109">
        <v>2</v>
      </c>
      <c r="E164" s="110" t="s">
        <v>612</v>
      </c>
      <c r="F164" s="467"/>
      <c r="G164" s="112" t="s">
        <v>456</v>
      </c>
    </row>
    <row r="165" spans="2:7" x14ac:dyDescent="0.25">
      <c r="B165" s="469"/>
      <c r="C165" s="467"/>
      <c r="D165" s="109">
        <v>3</v>
      </c>
      <c r="E165" s="110" t="s">
        <v>613</v>
      </c>
      <c r="F165" s="467"/>
      <c r="G165" s="112" t="s">
        <v>456</v>
      </c>
    </row>
    <row r="166" spans="2:7" x14ac:dyDescent="0.25">
      <c r="B166" s="469"/>
      <c r="C166" s="467"/>
      <c r="D166" s="109">
        <v>4</v>
      </c>
      <c r="E166" s="110" t="s">
        <v>614</v>
      </c>
      <c r="F166" s="467"/>
      <c r="G166" s="112" t="s">
        <v>456</v>
      </c>
    </row>
    <row r="167" spans="2:7" x14ac:dyDescent="0.25">
      <c r="B167" s="469">
        <v>15</v>
      </c>
      <c r="C167" s="467" t="s">
        <v>460</v>
      </c>
      <c r="D167" s="109">
        <v>1</v>
      </c>
      <c r="E167" s="115" t="s">
        <v>615</v>
      </c>
      <c r="F167" s="467" t="s">
        <v>616</v>
      </c>
      <c r="G167" s="112" t="s">
        <v>456</v>
      </c>
    </row>
    <row r="168" spans="2:7" x14ac:dyDescent="0.25">
      <c r="B168" s="469"/>
      <c r="C168" s="467"/>
      <c r="D168" s="109">
        <v>2</v>
      </c>
      <c r="E168" s="115" t="s">
        <v>617</v>
      </c>
      <c r="F168" s="467"/>
      <c r="G168" s="112" t="s">
        <v>456</v>
      </c>
    </row>
    <row r="169" spans="2:7" x14ac:dyDescent="0.25">
      <c r="B169" s="469"/>
      <c r="C169" s="467"/>
      <c r="D169" s="109">
        <v>3</v>
      </c>
      <c r="E169" s="115" t="s">
        <v>618</v>
      </c>
      <c r="F169" s="467"/>
      <c r="G169" s="112" t="s">
        <v>456</v>
      </c>
    </row>
    <row r="170" spans="2:7" x14ac:dyDescent="0.25">
      <c r="B170" s="469"/>
      <c r="C170" s="467"/>
      <c r="D170" s="109">
        <v>4</v>
      </c>
      <c r="E170" s="115" t="s">
        <v>619</v>
      </c>
      <c r="F170" s="467"/>
      <c r="G170" s="112" t="s">
        <v>456</v>
      </c>
    </row>
    <row r="171" spans="2:7" x14ac:dyDescent="0.25">
      <c r="B171" s="469"/>
      <c r="C171" s="467"/>
      <c r="D171" s="109">
        <v>5</v>
      </c>
      <c r="E171" s="115" t="s">
        <v>620</v>
      </c>
      <c r="F171" s="467"/>
      <c r="G171" s="112" t="s">
        <v>456</v>
      </c>
    </row>
    <row r="172" spans="2:7" x14ac:dyDescent="0.25">
      <c r="B172" s="469"/>
      <c r="C172" s="467"/>
      <c r="D172" s="109">
        <v>6</v>
      </c>
      <c r="E172" s="115" t="s">
        <v>621</v>
      </c>
      <c r="F172" s="467"/>
      <c r="G172" s="112" t="s">
        <v>455</v>
      </c>
    </row>
    <row r="173" spans="2:7" x14ac:dyDescent="0.25">
      <c r="B173" s="469"/>
      <c r="C173" s="467"/>
      <c r="D173" s="109">
        <v>7</v>
      </c>
      <c r="E173" s="115" t="s">
        <v>622</v>
      </c>
      <c r="F173" s="467"/>
      <c r="G173" s="112" t="s">
        <v>455</v>
      </c>
    </row>
    <row r="174" spans="2:7" x14ac:dyDescent="0.25">
      <c r="B174" s="469"/>
      <c r="C174" s="467"/>
      <c r="D174" s="109">
        <v>8</v>
      </c>
      <c r="E174" s="115" t="s">
        <v>623</v>
      </c>
      <c r="F174" s="467"/>
      <c r="G174" s="112" t="s">
        <v>456</v>
      </c>
    </row>
    <row r="175" spans="2:7" x14ac:dyDescent="0.25">
      <c r="B175" s="469"/>
      <c r="C175" s="467"/>
      <c r="D175" s="109">
        <v>9</v>
      </c>
      <c r="E175" s="115" t="s">
        <v>624</v>
      </c>
      <c r="F175" s="467"/>
      <c r="G175" s="112" t="s">
        <v>456</v>
      </c>
    </row>
    <row r="176" spans="2:7" x14ac:dyDescent="0.25">
      <c r="B176" s="465">
        <v>16</v>
      </c>
      <c r="C176" s="468" t="s">
        <v>432</v>
      </c>
      <c r="D176" s="113">
        <v>1</v>
      </c>
      <c r="E176" s="110" t="s">
        <v>625</v>
      </c>
      <c r="F176" s="468" t="s">
        <v>626</v>
      </c>
      <c r="G176" s="112" t="s">
        <v>455</v>
      </c>
    </row>
    <row r="177" spans="2:7" x14ac:dyDescent="0.25">
      <c r="B177" s="465"/>
      <c r="C177" s="468"/>
      <c r="D177" s="113">
        <v>2</v>
      </c>
      <c r="E177" s="110" t="s">
        <v>627</v>
      </c>
      <c r="F177" s="468"/>
      <c r="G177" s="112" t="s">
        <v>456</v>
      </c>
    </row>
    <row r="178" spans="2:7" x14ac:dyDescent="0.25">
      <c r="B178" s="465"/>
      <c r="C178" s="468"/>
      <c r="D178" s="113">
        <v>3</v>
      </c>
      <c r="E178" s="110" t="s">
        <v>628</v>
      </c>
      <c r="F178" s="468"/>
      <c r="G178" s="112" t="s">
        <v>455</v>
      </c>
    </row>
    <row r="179" spans="2:7" x14ac:dyDescent="0.25">
      <c r="B179" s="465"/>
      <c r="C179" s="468"/>
      <c r="D179" s="113">
        <v>4</v>
      </c>
      <c r="E179" s="110" t="s">
        <v>629</v>
      </c>
      <c r="F179" s="468"/>
      <c r="G179" s="112" t="s">
        <v>455</v>
      </c>
    </row>
    <row r="180" spans="2:7" x14ac:dyDescent="0.25">
      <c r="B180" s="465"/>
      <c r="C180" s="468"/>
      <c r="D180" s="113">
        <v>5</v>
      </c>
      <c r="E180" s="110" t="s">
        <v>630</v>
      </c>
      <c r="F180" s="468"/>
      <c r="G180" s="112" t="s">
        <v>456</v>
      </c>
    </row>
    <row r="181" spans="2:7" x14ac:dyDescent="0.25">
      <c r="B181" s="465"/>
      <c r="C181" s="468"/>
      <c r="D181" s="113">
        <v>6</v>
      </c>
      <c r="E181" s="110" t="s">
        <v>631</v>
      </c>
      <c r="F181" s="468"/>
      <c r="G181" s="112" t="s">
        <v>456</v>
      </c>
    </row>
    <row r="182" spans="2:7" x14ac:dyDescent="0.25">
      <c r="B182" s="465"/>
      <c r="C182" s="468"/>
      <c r="D182" s="113">
        <v>7</v>
      </c>
      <c r="E182" s="110" t="s">
        <v>632</v>
      </c>
      <c r="F182" s="468"/>
      <c r="G182" s="112" t="s">
        <v>455</v>
      </c>
    </row>
    <row r="183" spans="2:7" x14ac:dyDescent="0.25">
      <c r="B183" s="465">
        <v>17</v>
      </c>
      <c r="C183" s="468" t="s">
        <v>633</v>
      </c>
      <c r="D183" s="113" t="s">
        <v>634</v>
      </c>
      <c r="E183" s="110" t="s">
        <v>635</v>
      </c>
      <c r="F183" s="468" t="s">
        <v>636</v>
      </c>
      <c r="G183" s="112" t="s">
        <v>456</v>
      </c>
    </row>
    <row r="184" spans="2:7" x14ac:dyDescent="0.25">
      <c r="B184" s="465"/>
      <c r="C184" s="468"/>
      <c r="D184" s="113" t="s">
        <v>637</v>
      </c>
      <c r="E184" s="110" t="s">
        <v>638</v>
      </c>
      <c r="F184" s="468"/>
      <c r="G184" s="112" t="s">
        <v>455</v>
      </c>
    </row>
    <row r="185" spans="2:7" x14ac:dyDescent="0.25">
      <c r="B185" s="465"/>
      <c r="C185" s="468"/>
      <c r="D185" s="113" t="s">
        <v>639</v>
      </c>
      <c r="E185" s="110" t="s">
        <v>640</v>
      </c>
      <c r="F185" s="468"/>
      <c r="G185" s="112" t="s">
        <v>456</v>
      </c>
    </row>
    <row r="186" spans="2:7" x14ac:dyDescent="0.25">
      <c r="B186" s="465"/>
      <c r="C186" s="468"/>
      <c r="D186" s="113" t="s">
        <v>641</v>
      </c>
      <c r="E186" s="110" t="s">
        <v>255</v>
      </c>
      <c r="F186" s="468"/>
      <c r="G186" s="112" t="s">
        <v>456</v>
      </c>
    </row>
    <row r="187" spans="2:7" ht="15.75" thickBot="1" x14ac:dyDescent="0.3">
      <c r="B187" s="470"/>
      <c r="C187" s="471"/>
      <c r="D187" s="116" t="s">
        <v>386</v>
      </c>
      <c r="E187" s="117" t="s">
        <v>642</v>
      </c>
      <c r="F187" s="471"/>
      <c r="G187" s="118" t="s">
        <v>456</v>
      </c>
    </row>
  </sheetData>
  <mergeCells count="54">
    <mergeCell ref="B183:B187"/>
    <mergeCell ref="C183:C187"/>
    <mergeCell ref="F183:F187"/>
    <mergeCell ref="C141:C149"/>
    <mergeCell ref="B167:B175"/>
    <mergeCell ref="C167:C175"/>
    <mergeCell ref="F167:F175"/>
    <mergeCell ref="B176:B182"/>
    <mergeCell ref="C176:C182"/>
    <mergeCell ref="F176:F182"/>
    <mergeCell ref="B150:B162"/>
    <mergeCell ref="C150:C162"/>
    <mergeCell ref="F150:F162"/>
    <mergeCell ref="B163:B166"/>
    <mergeCell ref="C163:C166"/>
    <mergeCell ref="F163:F166"/>
    <mergeCell ref="B141:B149"/>
    <mergeCell ref="F141:F149"/>
    <mergeCell ref="B93:B115"/>
    <mergeCell ref="C93:C115"/>
    <mergeCell ref="F93:F115"/>
    <mergeCell ref="B116:B130"/>
    <mergeCell ref="C116:C130"/>
    <mergeCell ref="F116:F130"/>
    <mergeCell ref="B131:B133"/>
    <mergeCell ref="C131:C133"/>
    <mergeCell ref="F131:F133"/>
    <mergeCell ref="B134:B139"/>
    <mergeCell ref="C134:C139"/>
    <mergeCell ref="F134:F139"/>
    <mergeCell ref="B71:B77"/>
    <mergeCell ref="C71:C77"/>
    <mergeCell ref="F71:F77"/>
    <mergeCell ref="B78:B92"/>
    <mergeCell ref="C78:C92"/>
    <mergeCell ref="F78:F92"/>
    <mergeCell ref="B45:B48"/>
    <mergeCell ref="C45:C48"/>
    <mergeCell ref="F45:F48"/>
    <mergeCell ref="B49:B70"/>
    <mergeCell ref="C49:C70"/>
    <mergeCell ref="F49:F70"/>
    <mergeCell ref="D29:E29"/>
    <mergeCell ref="B30:B39"/>
    <mergeCell ref="C30:C39"/>
    <mergeCell ref="F30:F39"/>
    <mergeCell ref="B40:B44"/>
    <mergeCell ref="C40:C44"/>
    <mergeCell ref="F40:F44"/>
    <mergeCell ref="B4:G4"/>
    <mergeCell ref="D5:G5"/>
    <mergeCell ref="B2:G2"/>
    <mergeCell ref="B27:G27"/>
    <mergeCell ref="B28:G28"/>
  </mergeCells>
  <pageMargins left="0.98425196850393704" right="0.98425196850393704" top="0.98425196850393704" bottom="1.3779527559055118" header="0.51181102362204722" footer="0.51181102362204722"/>
  <pageSetup paperSize="5"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2:E37"/>
  <sheetViews>
    <sheetView workbookViewId="0">
      <selection activeCell="B3" sqref="B3:D3"/>
    </sheetView>
  </sheetViews>
  <sheetFormatPr defaultRowHeight="15" x14ac:dyDescent="0.25"/>
  <cols>
    <col min="1" max="1" width="5" customWidth="1"/>
    <col min="2" max="2" width="9.140625" style="60"/>
    <col min="3" max="3" width="59.5703125" style="59" customWidth="1"/>
    <col min="4" max="4" width="16" style="60" customWidth="1"/>
  </cols>
  <sheetData>
    <row r="2" spans="2:5" ht="15.75" x14ac:dyDescent="0.25">
      <c r="B2" s="472" t="s">
        <v>388</v>
      </c>
      <c r="C2" s="472"/>
      <c r="D2" s="472"/>
    </row>
    <row r="3" spans="2:5" ht="15.75" x14ac:dyDescent="0.25">
      <c r="B3" s="58"/>
      <c r="C3" s="58"/>
      <c r="D3" s="58"/>
    </row>
    <row r="4" spans="2:5" ht="15.75" x14ac:dyDescent="0.25">
      <c r="B4" s="58"/>
      <c r="C4" s="58"/>
      <c r="D4" s="58"/>
    </row>
    <row r="5" spans="2:5" ht="18" x14ac:dyDescent="0.25">
      <c r="B5" s="437" t="s">
        <v>101</v>
      </c>
      <c r="C5" s="437"/>
      <c r="D5" s="437"/>
      <c r="E5" s="18"/>
    </row>
    <row r="6" spans="2:5" x14ac:dyDescent="0.25">
      <c r="B6" s="34">
        <v>1</v>
      </c>
      <c r="C6" s="43" t="s">
        <v>164</v>
      </c>
      <c r="D6" s="36" t="s">
        <v>100</v>
      </c>
    </row>
    <row r="7" spans="2:5" x14ac:dyDescent="0.25">
      <c r="B7" s="441"/>
      <c r="C7" s="441"/>
      <c r="D7" s="441"/>
    </row>
    <row r="8" spans="2:5" ht="18" x14ac:dyDescent="0.25">
      <c r="B8" s="437" t="s">
        <v>170</v>
      </c>
      <c r="C8" s="437"/>
      <c r="D8" s="437"/>
    </row>
    <row r="9" spans="2:5" x14ac:dyDescent="0.25">
      <c r="B9" s="34">
        <v>2</v>
      </c>
      <c r="C9" s="35" t="s">
        <v>237</v>
      </c>
      <c r="D9" s="36" t="s">
        <v>166</v>
      </c>
    </row>
    <row r="10" spans="2:5" ht="15.75" x14ac:dyDescent="0.25">
      <c r="B10" s="62"/>
      <c r="C10" s="63"/>
      <c r="D10" s="62"/>
    </row>
    <row r="11" spans="2:5" ht="18" x14ac:dyDescent="0.25">
      <c r="B11" s="437" t="s">
        <v>241</v>
      </c>
      <c r="C11" s="437"/>
      <c r="D11" s="437"/>
    </row>
    <row r="12" spans="2:5" x14ac:dyDescent="0.25">
      <c r="B12" s="34">
        <v>3</v>
      </c>
      <c r="C12" s="35" t="s">
        <v>293</v>
      </c>
      <c r="D12" s="36" t="s">
        <v>100</v>
      </c>
    </row>
    <row r="13" spans="2:5" x14ac:dyDescent="0.25">
      <c r="B13" s="441"/>
      <c r="C13" s="441"/>
      <c r="D13" s="441"/>
    </row>
    <row r="14" spans="2:5" ht="18" x14ac:dyDescent="0.25">
      <c r="B14" s="437" t="s">
        <v>296</v>
      </c>
      <c r="C14" s="437"/>
      <c r="D14" s="437"/>
    </row>
    <row r="15" spans="2:5" x14ac:dyDescent="0.25">
      <c r="B15" s="34">
        <v>4</v>
      </c>
      <c r="C15" s="35" t="s">
        <v>383</v>
      </c>
      <c r="D15" s="36" t="s">
        <v>166</v>
      </c>
    </row>
    <row r="16" spans="2:5" x14ac:dyDescent="0.25">
      <c r="B16" s="441"/>
      <c r="C16" s="441"/>
      <c r="D16" s="441"/>
    </row>
    <row r="17" spans="2:4" x14ac:dyDescent="0.25">
      <c r="B17" s="441"/>
      <c r="C17" s="441"/>
      <c r="D17" s="441"/>
    </row>
    <row r="18" spans="2:4" x14ac:dyDescent="0.25">
      <c r="B18" s="441"/>
      <c r="C18" s="441"/>
      <c r="D18" s="441"/>
    </row>
    <row r="19" spans="2:4" x14ac:dyDescent="0.25">
      <c r="B19" s="441"/>
      <c r="C19" s="441"/>
      <c r="D19" s="441"/>
    </row>
    <row r="20" spans="2:4" x14ac:dyDescent="0.25">
      <c r="B20" s="441"/>
      <c r="C20" s="441"/>
      <c r="D20" s="441"/>
    </row>
    <row r="21" spans="2:4" x14ac:dyDescent="0.25">
      <c r="B21" s="441"/>
      <c r="C21" s="441"/>
      <c r="D21" s="441"/>
    </row>
    <row r="22" spans="2:4" x14ac:dyDescent="0.25">
      <c r="B22" s="441"/>
      <c r="C22" s="441"/>
      <c r="D22" s="441"/>
    </row>
    <row r="23" spans="2:4" x14ac:dyDescent="0.25">
      <c r="B23" s="441"/>
      <c r="C23" s="441"/>
      <c r="D23" s="441"/>
    </row>
    <row r="24" spans="2:4" x14ac:dyDescent="0.25">
      <c r="B24" s="441"/>
      <c r="C24" s="441"/>
      <c r="D24" s="441"/>
    </row>
    <row r="25" spans="2:4" x14ac:dyDescent="0.25">
      <c r="B25" s="441"/>
      <c r="C25" s="441"/>
      <c r="D25" s="441"/>
    </row>
    <row r="26" spans="2:4" x14ac:dyDescent="0.25">
      <c r="B26" s="441"/>
      <c r="C26" s="441"/>
      <c r="D26" s="441"/>
    </row>
    <row r="27" spans="2:4" x14ac:dyDescent="0.25">
      <c r="B27" s="441"/>
      <c r="C27" s="441"/>
      <c r="D27" s="441"/>
    </row>
    <row r="28" spans="2:4" x14ac:dyDescent="0.25">
      <c r="B28" s="441"/>
      <c r="C28" s="441"/>
      <c r="D28" s="441"/>
    </row>
    <row r="29" spans="2:4" x14ac:dyDescent="0.25">
      <c r="B29" s="441"/>
      <c r="C29" s="441"/>
      <c r="D29" s="441"/>
    </row>
    <row r="30" spans="2:4" x14ac:dyDescent="0.25">
      <c r="B30" s="441"/>
      <c r="C30" s="441"/>
      <c r="D30" s="441"/>
    </row>
    <row r="31" spans="2:4" x14ac:dyDescent="0.25">
      <c r="B31" s="441"/>
      <c r="C31" s="441"/>
      <c r="D31" s="441"/>
    </row>
    <row r="32" spans="2:4" x14ac:dyDescent="0.25">
      <c r="B32" s="441"/>
      <c r="C32" s="441"/>
      <c r="D32" s="441"/>
    </row>
    <row r="33" spans="2:4" x14ac:dyDescent="0.25">
      <c r="B33" s="441"/>
      <c r="C33" s="441"/>
      <c r="D33" s="441"/>
    </row>
    <row r="34" spans="2:4" x14ac:dyDescent="0.25">
      <c r="B34" s="441"/>
      <c r="C34" s="441"/>
      <c r="D34" s="441"/>
    </row>
    <row r="35" spans="2:4" x14ac:dyDescent="0.25">
      <c r="B35" s="441"/>
      <c r="C35" s="441"/>
      <c r="D35" s="441"/>
    </row>
    <row r="36" spans="2:4" ht="15.75" x14ac:dyDescent="0.25">
      <c r="B36" s="58"/>
    </row>
    <row r="37" spans="2:4" x14ac:dyDescent="0.25">
      <c r="B37" s="61"/>
    </row>
  </sheetData>
  <mergeCells count="27">
    <mergeCell ref="B31:D31"/>
    <mergeCell ref="B32:D32"/>
    <mergeCell ref="B33:D33"/>
    <mergeCell ref="B34:D34"/>
    <mergeCell ref="B35:D35"/>
    <mergeCell ref="B30:D30"/>
    <mergeCell ref="B19:D19"/>
    <mergeCell ref="B20:D20"/>
    <mergeCell ref="B21:D21"/>
    <mergeCell ref="B22:D22"/>
    <mergeCell ref="B23:D23"/>
    <mergeCell ref="B24:D24"/>
    <mergeCell ref="B25:D25"/>
    <mergeCell ref="B26:D26"/>
    <mergeCell ref="B27:D27"/>
    <mergeCell ref="B28:D28"/>
    <mergeCell ref="B29:D29"/>
    <mergeCell ref="B16:D16"/>
    <mergeCell ref="B17:D17"/>
    <mergeCell ref="B18:D18"/>
    <mergeCell ref="B13:D13"/>
    <mergeCell ref="B14:D14"/>
    <mergeCell ref="B11:D11"/>
    <mergeCell ref="B7:D7"/>
    <mergeCell ref="B8:D8"/>
    <mergeCell ref="B2:D2"/>
    <mergeCell ref="B5:D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
  <sheetViews>
    <sheetView workbookViewId="0">
      <selection activeCell="N24" sqref="N24"/>
    </sheetView>
  </sheetViews>
  <sheetFormatPr defaultRowHeight="15" x14ac:dyDescent="0.25"/>
  <sheetData/>
  <pageMargins left="0.7" right="0.7" top="0.75" bottom="0.75" header="0.3" footer="0.3"/>
  <pageSetup paperSize="9" scale="98"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Annual Workplan</vt:lpstr>
      <vt:lpstr>Annex-A</vt:lpstr>
      <vt:lpstr>Annex-B</vt:lpstr>
      <vt:lpstr>Annex-C</vt:lpstr>
      <vt:lpstr>Annex-C2</vt:lpstr>
      <vt:lpstr>Annex-D</vt:lpstr>
      <vt:lpstr>Annex-E</vt:lpstr>
      <vt:lpstr>Annex1</vt:lpstr>
      <vt:lpstr>RFW</vt:lpstr>
      <vt:lpstr>AIP till life of project</vt:lpstr>
      <vt:lpstr>'Annex-C'!Print_Area</vt:lpstr>
      <vt:lpstr>'Annual Workplan'!Print_Area</vt:lpstr>
      <vt:lpstr>'Annex-C'!Print_Titles</vt:lpstr>
      <vt:lpstr>'Annual Workplan'!Print_Titles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2025-02-14T07:40:57Z</dcterms:modified>
</cp:coreProperties>
</file>